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U\PY25 MOU\MOU\Submitted\"/>
    </mc:Choice>
  </mc:AlternateContent>
  <bookViews>
    <workbookView xWindow="0" yWindow="0" windowWidth="28800" windowHeight="12000"/>
  </bookViews>
  <sheets>
    <sheet name="PY25 MOU Budget" sheetId="1" r:id="rId1"/>
  </sheets>
  <externalReferences>
    <externalReference r:id="rId2"/>
    <externalReference r:id="rId3"/>
    <externalReference r:id="rId4"/>
  </externalReferences>
  <definedNames>
    <definedName name="Input_Other_Line_Items1" comment="Input range for other line items">'[1]D-Shared Costs-Center 1'!$A$21:$A$26,'[1]D-Shared Costs-Center 1'!$A$31:$A$36,'[1]D-Shared Costs-Center 1'!$A$39:$A$44,'[1]D-Shared Costs-Center 1'!$A$48:$A$53,'[1]D-Shared Costs-Center 1'!$A$72:$A$74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1" l="1"/>
  <c r="I83" i="1"/>
  <c r="I82" i="1"/>
  <c r="L79" i="1"/>
  <c r="G79" i="1" s="1"/>
  <c r="L78" i="1"/>
  <c r="G78" i="1" s="1"/>
  <c r="H78" i="1" s="1"/>
  <c r="L77" i="1"/>
  <c r="G77" i="1" s="1"/>
  <c r="H77" i="1" s="1"/>
  <c r="L76" i="1"/>
  <c r="G76" i="1" s="1"/>
  <c r="H76" i="1" s="1"/>
  <c r="L75" i="1"/>
  <c r="G75" i="1" s="1"/>
  <c r="H75" i="1" s="1"/>
  <c r="K74" i="1"/>
  <c r="K80" i="1" s="1"/>
  <c r="J74" i="1"/>
  <c r="J80" i="1" s="1"/>
  <c r="L73" i="1"/>
  <c r="G73" i="1" s="1"/>
  <c r="H73" i="1" s="1"/>
  <c r="L72" i="1"/>
  <c r="H72" i="1"/>
  <c r="G72" i="1"/>
  <c r="L71" i="1"/>
  <c r="G71" i="1" s="1"/>
  <c r="H71" i="1" s="1"/>
  <c r="L70" i="1"/>
  <c r="G70" i="1" s="1"/>
  <c r="H70" i="1" s="1"/>
  <c r="L69" i="1"/>
  <c r="L74" i="1" s="1"/>
  <c r="L80" i="1" s="1"/>
  <c r="L68" i="1"/>
  <c r="G68" i="1" s="1"/>
  <c r="H68" i="1" s="1"/>
  <c r="K67" i="1"/>
  <c r="J67" i="1"/>
  <c r="L67" i="1" s="1"/>
  <c r="G67" i="1" s="1"/>
  <c r="H67" i="1" s="1"/>
  <c r="L66" i="1"/>
  <c r="K66" i="1"/>
  <c r="J66" i="1"/>
  <c r="G66" i="1"/>
  <c r="B61" i="1"/>
  <c r="B60" i="1"/>
  <c r="B59" i="1"/>
  <c r="L58" i="1"/>
  <c r="L56" i="1"/>
  <c r="G56" i="1" s="1"/>
  <c r="K56" i="1" s="1"/>
  <c r="L54" i="1"/>
  <c r="G54" i="1" s="1"/>
  <c r="B53" i="1"/>
  <c r="B52" i="1"/>
  <c r="B51" i="1"/>
  <c r="L50" i="1"/>
  <c r="G50" i="1" s="1"/>
  <c r="B49" i="1"/>
  <c r="B48" i="1"/>
  <c r="B47" i="1"/>
  <c r="L46" i="1"/>
  <c r="G46" i="1"/>
  <c r="G49" i="1" s="1"/>
  <c r="L44" i="1"/>
  <c r="G44" i="1"/>
  <c r="K44" i="1" s="1"/>
  <c r="J44" i="1" s="1"/>
  <c r="L43" i="1"/>
  <c r="G43" i="1" s="1"/>
  <c r="K43" i="1" s="1"/>
  <c r="J43" i="1" s="1"/>
  <c r="L42" i="1"/>
  <c r="G42" i="1"/>
  <c r="K42" i="1" s="1"/>
  <c r="J42" i="1" s="1"/>
  <c r="L41" i="1"/>
  <c r="G41" i="1"/>
  <c r="K41" i="1" s="1"/>
  <c r="J41" i="1" s="1"/>
  <c r="L40" i="1"/>
  <c r="G40" i="1" s="1"/>
  <c r="K40" i="1" s="1"/>
  <c r="J40" i="1" s="1"/>
  <c r="L37" i="1"/>
  <c r="G37" i="1"/>
  <c r="G38" i="1" s="1"/>
  <c r="L35" i="1"/>
  <c r="G35" i="1" s="1"/>
  <c r="B34" i="1"/>
  <c r="B33" i="1"/>
  <c r="B32" i="1"/>
  <c r="L31" i="1"/>
  <c r="G31" i="1" s="1"/>
  <c r="H23" i="1"/>
  <c r="H22" i="1"/>
  <c r="H21" i="1"/>
  <c r="G17" i="1"/>
  <c r="F17" i="1"/>
  <c r="E17" i="1"/>
  <c r="D17" i="1"/>
  <c r="C17" i="1"/>
  <c r="H16" i="1"/>
  <c r="H17" i="1" s="1"/>
  <c r="F14" i="1"/>
  <c r="E14" i="1"/>
  <c r="D14" i="1"/>
  <c r="C14" i="1"/>
  <c r="G13" i="1"/>
  <c r="H13" i="1" s="1"/>
  <c r="G12" i="1"/>
  <c r="H12" i="1" s="1"/>
  <c r="H11" i="1"/>
  <c r="G11" i="1"/>
  <c r="G10" i="1"/>
  <c r="H10" i="1" s="1"/>
  <c r="F8" i="1"/>
  <c r="E8" i="1"/>
  <c r="D8" i="1"/>
  <c r="C8" i="1"/>
  <c r="G7" i="1"/>
  <c r="H7" i="1" s="1"/>
  <c r="H6" i="1"/>
  <c r="G6" i="1"/>
  <c r="G5" i="1"/>
  <c r="H5" i="1" s="1"/>
  <c r="G4" i="1"/>
  <c r="H4" i="1" s="1"/>
  <c r="H3" i="1"/>
  <c r="G3" i="1"/>
  <c r="G21" i="1" s="1"/>
  <c r="G53" i="1" l="1"/>
  <c r="H50" i="1"/>
  <c r="G51" i="1"/>
  <c r="G34" i="1"/>
  <c r="G32" i="1"/>
  <c r="H31" i="1"/>
  <c r="G33" i="1"/>
  <c r="G55" i="1"/>
  <c r="H54" i="1"/>
  <c r="G36" i="1"/>
  <c r="H35" i="1"/>
  <c r="H37" i="1"/>
  <c r="G39" i="1"/>
  <c r="H46" i="1"/>
  <c r="L63" i="1"/>
  <c r="G47" i="1"/>
  <c r="H8" i="1"/>
  <c r="G19" i="1"/>
  <c r="H79" i="1"/>
  <c r="G84" i="1"/>
  <c r="J45" i="1"/>
  <c r="H14" i="1"/>
  <c r="H19" i="1" s="1"/>
  <c r="G82" i="1"/>
  <c r="G45" i="1"/>
  <c r="G57" i="1"/>
  <c r="G8" i="1"/>
  <c r="K31" i="1"/>
  <c r="J31" i="1" s="1"/>
  <c r="K35" i="1"/>
  <c r="J35" i="1" s="1"/>
  <c r="H40" i="1"/>
  <c r="H41" i="1"/>
  <c r="H42" i="1"/>
  <c r="H43" i="1"/>
  <c r="H44" i="1"/>
  <c r="H56" i="1"/>
  <c r="G58" i="1"/>
  <c r="H66" i="1"/>
  <c r="G69" i="1"/>
  <c r="G14" i="1"/>
  <c r="K37" i="1"/>
  <c r="J37" i="1" s="1"/>
  <c r="G48" i="1"/>
  <c r="J50" i="1"/>
  <c r="G52" i="1"/>
  <c r="K46" i="1"/>
  <c r="J46" i="1" s="1"/>
  <c r="K50" i="1"/>
  <c r="K54" i="1"/>
  <c r="J54" i="1" s="1"/>
  <c r="J56" i="1"/>
  <c r="I17" i="1" l="1"/>
  <c r="I14" i="1"/>
  <c r="K45" i="1"/>
  <c r="H45" i="1"/>
  <c r="H63" i="1" s="1"/>
  <c r="I21" i="1"/>
  <c r="G74" i="1"/>
  <c r="H69" i="1"/>
  <c r="G22" i="1"/>
  <c r="I8" i="1"/>
  <c r="K58" i="1"/>
  <c r="G60" i="1"/>
  <c r="J58" i="1"/>
  <c r="G59" i="1"/>
  <c r="H58" i="1"/>
  <c r="G63" i="1"/>
  <c r="I58" i="1" s="1"/>
  <c r="G61" i="1"/>
  <c r="I22" i="1" l="1"/>
  <c r="G27" i="1"/>
  <c r="G23" i="1"/>
  <c r="H74" i="1"/>
  <c r="H80" i="1" s="1"/>
  <c r="G83" i="1"/>
  <c r="G85" i="1" s="1"/>
  <c r="G80" i="1"/>
  <c r="G25" i="1" s="1"/>
  <c r="I35" i="1"/>
  <c r="I31" i="1"/>
  <c r="K63" i="1"/>
  <c r="J63" i="1"/>
  <c r="I37" i="1"/>
  <c r="I54" i="1"/>
  <c r="I40" i="1"/>
  <c r="I46" i="1"/>
  <c r="I43" i="1"/>
  <c r="I50" i="1"/>
  <c r="I44" i="1"/>
  <c r="I56" i="1"/>
  <c r="I41" i="1"/>
  <c r="I42" i="1"/>
  <c r="I45" i="1" l="1"/>
  <c r="G26" i="1"/>
  <c r="G28" i="1"/>
</calcChain>
</file>

<file path=xl/sharedStrings.xml><?xml version="1.0" encoding="utf-8"?>
<sst xmlns="http://schemas.openxmlformats.org/spreadsheetml/2006/main" count="104" uniqueCount="73">
  <si>
    <t xml:space="preserve">LWIA #26 MOU </t>
  </si>
  <si>
    <t>PY21 Budget</t>
  </si>
  <si>
    <t>PY22 Budget</t>
  </si>
  <si>
    <t>PY23 Budget</t>
  </si>
  <si>
    <t>PY24 Budget</t>
  </si>
  <si>
    <t>PY25 Budget</t>
  </si>
  <si>
    <t>Increase (Decrease)</t>
  </si>
  <si>
    <t>% of Total Budget</t>
  </si>
  <si>
    <t>Notes</t>
  </si>
  <si>
    <t>Lease Costs (all inclusive)</t>
  </si>
  <si>
    <t>Increase due to utilies cost increase</t>
  </si>
  <si>
    <t>Cleaning</t>
  </si>
  <si>
    <t>Provided by Contract</t>
  </si>
  <si>
    <t>OneStop Reception</t>
  </si>
  <si>
    <t xml:space="preserve">$14,000 Wages &amp; 2,089 Fringe </t>
  </si>
  <si>
    <t>OneStop Operator Cost</t>
  </si>
  <si>
    <t>One Stop Manager - $18,834 Wages &amp; 2,811 Fringe</t>
  </si>
  <si>
    <t>Resource Room Supplies</t>
  </si>
  <si>
    <t>OneStop Operator Budget</t>
  </si>
  <si>
    <t>Salary &amp; Fringe Board Staff</t>
  </si>
  <si>
    <t xml:space="preserve">MOU Budget is 3.4% of Total Area Budget </t>
  </si>
  <si>
    <t>Board Meeting Costs</t>
  </si>
  <si>
    <t>Audit Costs</t>
  </si>
  <si>
    <t>Error &amp; Omissions Insurance</t>
  </si>
  <si>
    <t>Board Costs Total</t>
  </si>
  <si>
    <t xml:space="preserve">Budget Increase of 5.75% </t>
  </si>
  <si>
    <t>Business Services</t>
  </si>
  <si>
    <t>Total Service Intergration</t>
  </si>
  <si>
    <t>Total Shared Costs</t>
  </si>
  <si>
    <t xml:space="preserve">Budget Increase of 6.25% </t>
  </si>
  <si>
    <t>Infracture Costs</t>
  </si>
  <si>
    <t>Delivery Costs</t>
  </si>
  <si>
    <t>Cost Per FTE</t>
  </si>
  <si>
    <t>Total Shared Costs per FTE</t>
  </si>
  <si>
    <t>LWIA #26</t>
  </si>
  <si>
    <t>10% Varriance</t>
  </si>
  <si>
    <t>Appendix  K</t>
  </si>
  <si>
    <t>Title 1B Adult, Youth &amp; Dislocated</t>
  </si>
  <si>
    <t xml:space="preserve">WADI (Edwards, Gallatin, Hamilton, Saline, Wabash, Wayne &amp; White) </t>
  </si>
  <si>
    <t>SDC (Alexander, Hardin, Johnson, Massac, Pope,Pulaski &amp; Union)</t>
  </si>
  <si>
    <t xml:space="preserve">So14 Board </t>
  </si>
  <si>
    <t>Trade</t>
  </si>
  <si>
    <t>Southern 14</t>
  </si>
  <si>
    <t>CSBG</t>
  </si>
  <si>
    <t>WADI (Edwards, Gallatin, Hamilton, Saline, Wabash, Wayne &amp; White)</t>
  </si>
  <si>
    <t>Title III-Wagner Peyser</t>
  </si>
  <si>
    <t>Veterns Services</t>
  </si>
  <si>
    <t>UI Comp Programs</t>
  </si>
  <si>
    <t xml:space="preserve">TRA </t>
  </si>
  <si>
    <t>Title III-MSFW</t>
  </si>
  <si>
    <t xml:space="preserve">IDES </t>
  </si>
  <si>
    <t>Title II-Adult Education</t>
  </si>
  <si>
    <t xml:space="preserve">SIC (Gallitin, Hamilton, Hardin, Saline &amp; White) </t>
  </si>
  <si>
    <t xml:space="preserve">SCC (Alexander,Johnson, Massac, Pope,Pulaski &amp; Union) </t>
  </si>
  <si>
    <t>IECC (Edwards, Wayne, Wabash)</t>
  </si>
  <si>
    <t>Career &amp; Tech Ed-Perkins</t>
  </si>
  <si>
    <t>SCC (Alexander,Johnson, Massac, Pope,Pulaski &amp; Union)</t>
  </si>
  <si>
    <t xml:space="preserve">IECC (Edwards, Wayne, Wabash) </t>
  </si>
  <si>
    <t>Title IV Vocational Rehab.</t>
  </si>
  <si>
    <t>DHS</t>
  </si>
  <si>
    <t>TANF</t>
  </si>
  <si>
    <t>DORS</t>
  </si>
  <si>
    <t>Aging-SCEP</t>
  </si>
  <si>
    <t>National Able ( Johnson, Massac, &amp; Pulaski)</t>
  </si>
  <si>
    <t xml:space="preserve">Evansville Goodwill (Edwards, Hamilton, Wabash, Wayne, &amp; White ) </t>
  </si>
  <si>
    <t xml:space="preserve">MERS Goodwill (Hardin, Pope, Saline, &amp; Union) </t>
  </si>
  <si>
    <t>LWIA #26 - FTE</t>
  </si>
  <si>
    <t>Onsite</t>
  </si>
  <si>
    <t>Direct Linkage</t>
  </si>
  <si>
    <t>Total FTE</t>
  </si>
  <si>
    <t>Title 1 &amp; Trade</t>
  </si>
  <si>
    <t>IDES Programs</t>
  </si>
  <si>
    <t>All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</si>
</sst>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_);\(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37" fontId="0" fillId="0" borderId="0" xfId="0" applyNumberFormat="1" applyAlignment="1">
      <alignment vertical="center" wrapText="1"/>
    </xf>
    <xf numFmtId="39" fontId="0" fillId="0" borderId="0" xfId="0" applyNumberFormat="1" applyAlignment="1">
      <alignment vertical="center"/>
    </xf>
    <xf numFmtId="3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37" fontId="0" fillId="0" borderId="3" xfId="0" applyNumberFormat="1" applyFill="1" applyBorder="1" applyAlignment="1">
      <alignment horizontal="center" vertical="center" wrapText="1"/>
    </xf>
    <xf numFmtId="37" fontId="0" fillId="0" borderId="3" xfId="0" applyNumberFormat="1" applyFont="1" applyFill="1" applyBorder="1" applyAlignment="1">
      <alignment horizontal="center" vertical="center" wrapText="1"/>
    </xf>
    <xf numFmtId="37" fontId="0" fillId="2" borderId="3" xfId="0" applyNumberFormat="1" applyFont="1" applyFill="1" applyBorder="1" applyAlignment="1">
      <alignment horizontal="center" vertical="center" wrapText="1"/>
    </xf>
    <xf numFmtId="37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3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37" fontId="0" fillId="0" borderId="3" xfId="0" applyNumberFormat="1" applyFill="1" applyBorder="1" applyAlignment="1">
      <alignment vertical="center"/>
    </xf>
    <xf numFmtId="37" fontId="0" fillId="0" borderId="3" xfId="0" applyNumberFormat="1" applyFont="1" applyFill="1" applyBorder="1" applyAlignment="1">
      <alignment vertical="center"/>
    </xf>
    <xf numFmtId="37" fontId="0" fillId="2" borderId="3" xfId="0" applyNumberFormat="1" applyFon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37" fontId="0" fillId="0" borderId="3" xfId="0" applyNumberFormat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37" fontId="0" fillId="2" borderId="3" xfId="0" applyNumberForma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39" fontId="0" fillId="0" borderId="3" xfId="0" applyNumberFormat="1" applyFill="1" applyBorder="1" applyAlignment="1">
      <alignment vertical="center"/>
    </xf>
    <xf numFmtId="39" fontId="0" fillId="0" borderId="3" xfId="0" applyNumberFormat="1" applyFont="1" applyFill="1" applyBorder="1" applyAlignment="1">
      <alignment vertical="center"/>
    </xf>
    <xf numFmtId="39" fontId="0" fillId="2" borderId="3" xfId="0" applyNumberFormat="1" applyFont="1" applyFill="1" applyBorder="1" applyAlignment="1">
      <alignment vertical="center"/>
    </xf>
    <xf numFmtId="0" fontId="0" fillId="3" borderId="3" xfId="0" applyFill="1" applyBorder="1" applyAlignment="1">
      <alignment horizontal="right" vertical="center" wrapText="1"/>
    </xf>
    <xf numFmtId="165" fontId="2" fillId="3" borderId="3" xfId="0" applyNumberFormat="1" applyFont="1" applyFill="1" applyBorder="1" applyAlignment="1">
      <alignment horizontal="right" vertical="center" wrapText="1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ont="1" applyFill="1" applyBorder="1" applyAlignment="1">
      <alignment vertical="center"/>
    </xf>
    <xf numFmtId="164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>
      <alignment vertical="center" wrapText="1"/>
    </xf>
    <xf numFmtId="39" fontId="0" fillId="3" borderId="3" xfId="0" applyNumberForma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37" fontId="0" fillId="0" borderId="3" xfId="0" applyNumberFormat="1" applyBorder="1" applyAlignment="1">
      <alignment vertical="center" wrapText="1"/>
    </xf>
    <xf numFmtId="39" fontId="0" fillId="0" borderId="3" xfId="0" applyNumberForma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wrapText="1"/>
    </xf>
    <xf numFmtId="37" fontId="0" fillId="0" borderId="3" xfId="0" applyNumberFormat="1" applyFill="1" applyBorder="1" applyAlignment="1">
      <alignment vertical="center" wrapText="1"/>
    </xf>
    <xf numFmtId="3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4" borderId="3" xfId="0" applyFill="1" applyBorder="1" applyAlignment="1">
      <alignment horizontal="right" vertical="center" wrapText="1"/>
    </xf>
    <xf numFmtId="165" fontId="2" fillId="4" borderId="3" xfId="0" applyNumberFormat="1" applyFont="1" applyFill="1" applyBorder="1" applyAlignment="1">
      <alignment horizontal="right" vertical="center" wrapText="1"/>
    </xf>
    <xf numFmtId="37" fontId="0" fillId="4" borderId="3" xfId="0" applyNumberFormat="1" applyFill="1" applyBorder="1" applyAlignment="1">
      <alignment vertical="center"/>
    </xf>
    <xf numFmtId="37" fontId="0" fillId="4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0" fontId="0" fillId="4" borderId="3" xfId="0" applyFill="1" applyBorder="1" applyAlignment="1">
      <alignment vertical="center" wrapText="1"/>
    </xf>
    <xf numFmtId="165" fontId="2" fillId="4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37" fontId="0" fillId="0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37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39" fontId="0" fillId="0" borderId="3" xfId="0" applyNumberFormat="1" applyBorder="1" applyAlignment="1">
      <alignment vertical="center" wrapText="1"/>
    </xf>
    <xf numFmtId="0" fontId="0" fillId="5" borderId="3" xfId="0" applyFill="1" applyBorder="1" applyAlignment="1">
      <alignment horizontal="right" vertical="center" wrapText="1"/>
    </xf>
    <xf numFmtId="164" fontId="2" fillId="5" borderId="3" xfId="0" applyNumberFormat="1" applyFont="1" applyFill="1" applyBorder="1" applyAlignment="1">
      <alignment horizontal="right" vertical="center" wrapText="1"/>
    </xf>
    <xf numFmtId="39" fontId="0" fillId="5" borderId="3" xfId="0" applyNumberFormat="1" applyFill="1" applyBorder="1" applyAlignment="1">
      <alignment vertical="center"/>
    </xf>
    <xf numFmtId="39" fontId="0" fillId="5" borderId="3" xfId="0" applyNumberFormat="1" applyFont="1" applyFill="1" applyBorder="1" applyAlignment="1">
      <alignment vertical="center"/>
    </xf>
    <xf numFmtId="164" fontId="0" fillId="5" borderId="3" xfId="0" applyNumberFormat="1" applyFill="1" applyBorder="1" applyAlignment="1">
      <alignment vertical="center"/>
    </xf>
    <xf numFmtId="39" fontId="0" fillId="5" borderId="3" xfId="0" applyNumberFormat="1" applyFill="1" applyBorder="1" applyAlignment="1">
      <alignment vertical="center" wrapText="1"/>
    </xf>
    <xf numFmtId="37" fontId="0" fillId="5" borderId="3" xfId="0" applyNumberFormat="1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37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7" fontId="0" fillId="0" borderId="3" xfId="0" applyNumberFormat="1" applyBorder="1" applyAlignment="1">
      <alignment horizontal="center" vertical="center" wrapText="1"/>
    </xf>
    <xf numFmtId="37" fontId="0" fillId="0" borderId="4" xfId="0" applyNumberFormat="1" applyBorder="1" applyAlignment="1">
      <alignment horizontal="center" vertical="center" wrapText="1"/>
    </xf>
    <xf numFmtId="37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U/PY20%20MOU/Forms/Copy%20of%20Appendix%20K%20-%20PY%202020%20MOU%20One-Stop%20Operating%20Budget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Y25%20MOU-Title%201%20&amp;%20Trade%20F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ppendix%20K%20-%20One-Stop%20Operating%20Budget%20Spreadsheet%20-%20LWIA%20%23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rastructure Cost Definitions"/>
      <sheetName val="System Costs Definitions"/>
      <sheetName val="A-Total FTEs All Centers"/>
      <sheetName val="B-Total Costs All (original)"/>
      <sheetName val="B-Total Shared Costs All Ctrs"/>
      <sheetName val="C-FTEs-Center 1"/>
      <sheetName val="D-Shared Costs-Center 1"/>
      <sheetName val="FTEs-Center 2"/>
      <sheetName val="Shared Costs-Center 2"/>
      <sheetName val="FTEs-Center 3"/>
      <sheetName val="Shared Costs-Center 3"/>
      <sheetName val="FTEs-Center 4"/>
      <sheetName val="Shared Costs-Center 4"/>
      <sheetName val="FTEs-Center 5"/>
      <sheetName val="Shared Costs-Center 5"/>
      <sheetName val="FTEs-Center 6"/>
      <sheetName val="Shared Costs-Center 6"/>
      <sheetName val="FTEs-Center X"/>
      <sheetName val="Shared Costs-Center 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A21" t="str">
            <v>List Other Facilities Costs</v>
          </cell>
        </row>
        <row r="22">
          <cell r="A22" t="str">
            <v>A - Customize Other Facilities Costs</v>
          </cell>
        </row>
        <row r="23">
          <cell r="A23" t="str">
            <v>B - Customize Other Facilities Costs</v>
          </cell>
        </row>
        <row r="24">
          <cell r="A24" t="str">
            <v>C - Customize Other Facilities Costs</v>
          </cell>
        </row>
        <row r="25">
          <cell r="A25" t="str">
            <v>D - Customize Other Facilities Costs</v>
          </cell>
        </row>
        <row r="26">
          <cell r="A26" t="str">
            <v>E - Customize Other Facilities Costs</v>
          </cell>
        </row>
        <row r="31">
          <cell r="A31" t="str">
            <v>List Other Technology Costs</v>
          </cell>
        </row>
        <row r="32">
          <cell r="A32" t="str">
            <v>F - Customize Other Technology Costs</v>
          </cell>
        </row>
        <row r="33">
          <cell r="A33" t="str">
            <v>G - Customize Other Technology Costs</v>
          </cell>
        </row>
        <row r="34">
          <cell r="A34" t="str">
            <v>H - Customize Other Technology Costs</v>
          </cell>
        </row>
        <row r="35">
          <cell r="A35" t="str">
            <v>I - Customize Other Technology Costs</v>
          </cell>
        </row>
        <row r="36">
          <cell r="A36" t="str">
            <v>J - Customize Other Technology Costs</v>
          </cell>
        </row>
        <row r="39">
          <cell r="A39" t="str">
            <v>List Other Common Identifier Costs</v>
          </cell>
        </row>
        <row r="40">
          <cell r="A40" t="str">
            <v>K - Customize Other Common Identifier Costs</v>
          </cell>
        </row>
        <row r="41">
          <cell r="A41" t="str">
            <v>L - Customize Other Common Identifier Costs</v>
          </cell>
        </row>
        <row r="42">
          <cell r="A42" t="str">
            <v>M - Customize Other Common Identifier Costs</v>
          </cell>
        </row>
        <row r="43">
          <cell r="A43" t="str">
            <v>N - Customize Other Common Identifier Costs</v>
          </cell>
        </row>
        <row r="44">
          <cell r="A44" t="str">
            <v>O - Customize Other Common Identifier Costs</v>
          </cell>
        </row>
        <row r="48">
          <cell r="A48" t="str">
            <v>List Other Infrastructure Costs</v>
          </cell>
        </row>
        <row r="49">
          <cell r="A49" t="str">
            <v>P - Customize Other Infrastructure Cost</v>
          </cell>
        </row>
        <row r="50">
          <cell r="A50" t="str">
            <v>Q - Customize Other Infrastructure Cost</v>
          </cell>
        </row>
        <row r="51">
          <cell r="A51" t="str">
            <v>R - Customize Other Infrastructure Cost</v>
          </cell>
        </row>
        <row r="52">
          <cell r="A52" t="str">
            <v>S - Customize Other Infrastructure Cost</v>
          </cell>
        </row>
        <row r="53">
          <cell r="A53" t="str">
            <v>T - Customize Other Infrastructure Cost</v>
          </cell>
        </row>
        <row r="72">
          <cell r="A72" t="str">
            <v>U - Customize Other Allowable Shared Local System Cost</v>
          </cell>
        </row>
        <row r="73">
          <cell r="A73" t="str">
            <v>V - Customize Other Allowable Shared Local System Cost</v>
          </cell>
        </row>
        <row r="74">
          <cell r="A74" t="str">
            <v>W - Customize  Other Allowable Shared Local System Cost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E"/>
      <sheetName val="Budget"/>
      <sheetName val="PY25 MOU Budget"/>
      <sheetName val="PY24 BO Budget"/>
      <sheetName val="FY25 OSO Budget"/>
    </sheetNames>
    <sheetDataSet>
      <sheetData sheetId="0">
        <row r="23">
          <cell r="P23">
            <v>0.82874999999999999</v>
          </cell>
          <cell r="Q23">
            <v>6.6592500000000001</v>
          </cell>
          <cell r="S23">
            <v>0.10625</v>
          </cell>
          <cell r="T23">
            <v>0.14450000000000002</v>
          </cell>
        </row>
      </sheetData>
      <sheetData sheetId="1">
        <row r="18">
          <cell r="G18">
            <v>5161</v>
          </cell>
        </row>
        <row r="19">
          <cell r="G19">
            <v>86</v>
          </cell>
        </row>
        <row r="20">
          <cell r="G20">
            <v>257</v>
          </cell>
        </row>
        <row r="21">
          <cell r="G21">
            <v>307</v>
          </cell>
        </row>
        <row r="38">
          <cell r="D38">
            <v>0.37344913151364767</v>
          </cell>
        </row>
        <row r="39">
          <cell r="D39">
            <v>0.37344913151364767</v>
          </cell>
        </row>
        <row r="42">
          <cell r="D42">
            <v>0.25310173697270472</v>
          </cell>
        </row>
      </sheetData>
      <sheetData sheetId="2"/>
      <sheetData sheetId="3"/>
      <sheetData sheetId="4">
        <row r="7">
          <cell r="L7">
            <v>21644.70232076506</v>
          </cell>
        </row>
        <row r="8">
          <cell r="L8">
            <v>16089.29767923494</v>
          </cell>
        </row>
        <row r="13">
          <cell r="L13">
            <v>1300</v>
          </cell>
        </row>
        <row r="14">
          <cell r="F14">
            <v>866</v>
          </cell>
        </row>
        <row r="15">
          <cell r="L15">
            <v>47000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rastructure Cost Definitions"/>
      <sheetName val="System Costs Definitions"/>
      <sheetName val="A-Total FTEs All Centers"/>
      <sheetName val="B-Total Costs All (original)"/>
      <sheetName val="B-Total Shared Costs All Ctrs"/>
      <sheetName val="B.2-OSO Costs All Ctrs"/>
      <sheetName val="C-FTEs-Center 1"/>
      <sheetName val="D-Shared Costs-Center 1"/>
      <sheetName val="D.2-OSO Costs-Center 1"/>
      <sheetName val="FTEs-Center 2"/>
      <sheetName val="Shared Costs-Center 2"/>
      <sheetName val="D.2-OSO Costs-Center 2"/>
      <sheetName val="FTEs-Center 3"/>
      <sheetName val="Shared Costs-Center 3"/>
      <sheetName val="D.2-OSO Costs-Center 3"/>
      <sheetName val="FTEs-Center 4"/>
      <sheetName val="Shared Costs-Center 4"/>
      <sheetName val="D.2-OSO Costs-Center 4"/>
      <sheetName val="FTEs-Center 5"/>
      <sheetName val="Shared Costs-Center 5"/>
      <sheetName val="D.2-OSO Costs-Center 5"/>
      <sheetName val="FTEs-Center 6"/>
      <sheetName val="Shared Costs-Center 6"/>
      <sheetName val="D.2-OSO Costs-Center 6"/>
      <sheetName val="FTEs-Center X"/>
      <sheetName val="Shared Costs-Center X"/>
      <sheetName val="D.2-OSO Costs-Center 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8">
          <cell r="D148">
            <v>63525.96815286624</v>
          </cell>
          <cell r="E148">
            <v>2120.3594176524111</v>
          </cell>
          <cell r="F148">
            <v>2120.3594176524111</v>
          </cell>
          <cell r="G148">
            <v>6361.0782529572334</v>
          </cell>
          <cell r="H148">
            <v>2120.3594176524111</v>
          </cell>
          <cell r="I148">
            <v>2120.3594176524111</v>
          </cell>
          <cell r="J148">
            <v>2120.3594176524111</v>
          </cell>
          <cell r="K148">
            <v>2120.3594176524111</v>
          </cell>
          <cell r="L148">
            <v>2120.3594176524111</v>
          </cell>
          <cell r="M148">
            <v>2120.3594176524111</v>
          </cell>
          <cell r="N148">
            <v>2120.3594176524111</v>
          </cell>
          <cell r="O148">
            <v>2120.3594176524111</v>
          </cell>
          <cell r="P148">
            <v>2120.3594176524111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topLeftCell="A10" workbookViewId="0">
      <selection activeCell="N72" sqref="N72"/>
    </sheetView>
  </sheetViews>
  <sheetFormatPr defaultRowHeight="15" x14ac:dyDescent="0.25"/>
  <cols>
    <col min="1" max="1" width="24.140625" style="51" customWidth="1"/>
    <col min="2" max="2" width="5.85546875" style="52" customWidth="1"/>
    <col min="3" max="4" width="9.7109375" style="41" customWidth="1"/>
    <col min="5" max="7" width="9.7109375" style="53" customWidth="1"/>
    <col min="8" max="8" width="10.7109375" style="3" customWidth="1"/>
    <col min="9" max="9" width="9.5703125" style="54" customWidth="1"/>
    <col min="10" max="10" width="12" style="1" customWidth="1"/>
    <col min="11" max="11" width="11.28515625" style="2" customWidth="1"/>
    <col min="12" max="12" width="9.85546875" style="3" customWidth="1"/>
    <col min="13" max="13" width="9.85546875" style="3" bestFit="1" customWidth="1"/>
    <col min="14" max="14" width="9.140625" style="3"/>
    <col min="15" max="16384" width="9.140625" style="4"/>
  </cols>
  <sheetData>
    <row r="1" spans="1:14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spans="1:14" s="13" customFormat="1" ht="35.25" customHeight="1" x14ac:dyDescent="0.25">
      <c r="A2" s="5"/>
      <c r="B2" s="6"/>
      <c r="C2" s="7" t="s">
        <v>1</v>
      </c>
      <c r="D2" s="7" t="s">
        <v>2</v>
      </c>
      <c r="E2" s="8" t="s">
        <v>3</v>
      </c>
      <c r="F2" s="8" t="s">
        <v>4</v>
      </c>
      <c r="G2" s="9" t="s">
        <v>5</v>
      </c>
      <c r="H2" s="10" t="s">
        <v>6</v>
      </c>
      <c r="I2" s="11" t="s">
        <v>7</v>
      </c>
      <c r="J2" s="71" t="s">
        <v>8</v>
      </c>
      <c r="K2" s="71"/>
      <c r="L2" s="12"/>
      <c r="M2" s="12"/>
      <c r="N2" s="12"/>
    </row>
    <row r="3" spans="1:14" ht="33.75" customHeight="1" x14ac:dyDescent="0.25">
      <c r="A3" s="14" t="s">
        <v>9</v>
      </c>
      <c r="B3" s="15"/>
      <c r="C3" s="16">
        <v>32000</v>
      </c>
      <c r="D3" s="16">
        <v>38000</v>
      </c>
      <c r="E3" s="17">
        <v>42000</v>
      </c>
      <c r="F3" s="17">
        <v>45000</v>
      </c>
      <c r="G3" s="18">
        <f>'[2]FY25 OSO Budget'!L15</f>
        <v>47000</v>
      </c>
      <c r="H3" s="16">
        <f>G3-F3</f>
        <v>2000</v>
      </c>
      <c r="I3" s="19"/>
      <c r="J3" s="68" t="s">
        <v>10</v>
      </c>
      <c r="K3" s="68"/>
    </row>
    <row r="4" spans="1:14" ht="19.5" customHeight="1" x14ac:dyDescent="0.25">
      <c r="A4" s="14" t="s">
        <v>11</v>
      </c>
      <c r="B4" s="15"/>
      <c r="C4" s="16"/>
      <c r="D4" s="16"/>
      <c r="E4" s="17">
        <v>1132</v>
      </c>
      <c r="F4" s="17">
        <v>1200</v>
      </c>
      <c r="G4" s="18">
        <f>'[2]FY25 OSO Budget'!F14</f>
        <v>866</v>
      </c>
      <c r="H4" s="16">
        <f t="shared" ref="H4:H7" si="0">G4-F4</f>
        <v>-334</v>
      </c>
      <c r="I4" s="19"/>
      <c r="J4" s="68" t="s">
        <v>12</v>
      </c>
      <c r="K4" s="68"/>
    </row>
    <row r="5" spans="1:14" ht="34.5" customHeight="1" x14ac:dyDescent="0.25">
      <c r="A5" s="14" t="s">
        <v>13</v>
      </c>
      <c r="B5" s="15"/>
      <c r="C5" s="16">
        <v>17340</v>
      </c>
      <c r="D5" s="16">
        <v>18432</v>
      </c>
      <c r="E5" s="17">
        <v>18707</v>
      </c>
      <c r="F5" s="17">
        <v>11738</v>
      </c>
      <c r="G5" s="18">
        <f>'[2]FY25 OSO Budget'!L8</f>
        <v>16089.29767923494</v>
      </c>
      <c r="H5" s="16">
        <f t="shared" si="0"/>
        <v>4351.29767923494</v>
      </c>
      <c r="I5" s="19"/>
      <c r="J5" s="68" t="s">
        <v>14</v>
      </c>
      <c r="K5" s="68"/>
    </row>
    <row r="6" spans="1:14" ht="33.75" customHeight="1" x14ac:dyDescent="0.25">
      <c r="A6" s="14" t="s">
        <v>15</v>
      </c>
      <c r="B6" s="15"/>
      <c r="C6" s="16">
        <v>11560</v>
      </c>
      <c r="D6" s="16">
        <v>13357</v>
      </c>
      <c r="E6" s="17">
        <v>13844</v>
      </c>
      <c r="F6" s="17">
        <v>21462</v>
      </c>
      <c r="G6" s="18">
        <f>'[2]FY25 OSO Budget'!L7</f>
        <v>21644.70232076506</v>
      </c>
      <c r="H6" s="16">
        <f t="shared" si="0"/>
        <v>182.70232076505999</v>
      </c>
      <c r="I6" s="19"/>
      <c r="J6" s="68" t="s">
        <v>16</v>
      </c>
      <c r="K6" s="68"/>
    </row>
    <row r="7" spans="1:14" ht="19.5" customHeight="1" x14ac:dyDescent="0.25">
      <c r="A7" s="14" t="s">
        <v>17</v>
      </c>
      <c r="B7" s="15"/>
      <c r="C7" s="16">
        <v>1000</v>
      </c>
      <c r="D7" s="16">
        <v>1000</v>
      </c>
      <c r="E7" s="17">
        <v>2317</v>
      </c>
      <c r="F7" s="17">
        <v>2500</v>
      </c>
      <c r="G7" s="18">
        <f>'[2]FY25 OSO Budget'!L13</f>
        <v>1300</v>
      </c>
      <c r="H7" s="16">
        <f t="shared" si="0"/>
        <v>-1200</v>
      </c>
      <c r="I7" s="19"/>
      <c r="J7" s="68"/>
      <c r="K7" s="68"/>
    </row>
    <row r="8" spans="1:14" ht="27" customHeight="1" x14ac:dyDescent="0.25">
      <c r="A8" s="20" t="s">
        <v>18</v>
      </c>
      <c r="B8" s="21"/>
      <c r="C8" s="17">
        <f t="shared" ref="C8:F8" si="1">SUM(C3:C7)</f>
        <v>61900</v>
      </c>
      <c r="D8" s="17">
        <f t="shared" si="1"/>
        <v>70789</v>
      </c>
      <c r="E8" s="17">
        <f t="shared" si="1"/>
        <v>78000</v>
      </c>
      <c r="F8" s="17">
        <f t="shared" si="1"/>
        <v>81900</v>
      </c>
      <c r="G8" s="18">
        <f>SUM(G3:G7)</f>
        <v>86900</v>
      </c>
      <c r="H8" s="22">
        <f>SUM(H3:H7)</f>
        <v>5000</v>
      </c>
      <c r="I8" s="23">
        <f>G8/$G$19</f>
        <v>0.93229339884777551</v>
      </c>
    </row>
    <row r="9" spans="1:14" ht="6" customHeight="1" x14ac:dyDescent="0.25">
      <c r="A9" s="14"/>
      <c r="B9" s="15"/>
      <c r="C9" s="16"/>
      <c r="D9" s="16"/>
      <c r="E9" s="17"/>
      <c r="F9" s="17"/>
      <c r="G9" s="18"/>
      <c r="H9" s="22"/>
      <c r="I9" s="19"/>
      <c r="J9" s="68"/>
      <c r="K9" s="68"/>
    </row>
    <row r="10" spans="1:14" ht="33.75" customHeight="1" x14ac:dyDescent="0.25">
      <c r="A10" s="14" t="s">
        <v>19</v>
      </c>
      <c r="B10" s="15"/>
      <c r="C10" s="16">
        <v>2978</v>
      </c>
      <c r="D10" s="16">
        <v>2978</v>
      </c>
      <c r="E10" s="17">
        <v>3963</v>
      </c>
      <c r="F10" s="17">
        <v>4172.2069428394043</v>
      </c>
      <c r="G10" s="18">
        <f>[2]Budget!G18</f>
        <v>5161</v>
      </c>
      <c r="H10" s="16">
        <f t="shared" ref="H10:H13" si="2">G10-F10</f>
        <v>988.79305716059571</v>
      </c>
      <c r="I10" s="19"/>
      <c r="J10" s="68" t="s">
        <v>20</v>
      </c>
      <c r="K10" s="68"/>
    </row>
    <row r="11" spans="1:14" ht="19.5" customHeight="1" x14ac:dyDescent="0.25">
      <c r="A11" s="14" t="s">
        <v>21</v>
      </c>
      <c r="B11" s="15"/>
      <c r="C11" s="16">
        <v>179</v>
      </c>
      <c r="D11" s="16">
        <v>179</v>
      </c>
      <c r="E11" s="17">
        <v>132.61000000000001</v>
      </c>
      <c r="F11" s="17">
        <v>185.36683323936265</v>
      </c>
      <c r="G11" s="18">
        <f>[2]Budget!G19</f>
        <v>86</v>
      </c>
      <c r="H11" s="16">
        <f t="shared" si="2"/>
        <v>-99.366833239362649</v>
      </c>
      <c r="I11" s="19"/>
      <c r="J11" s="68"/>
      <c r="K11" s="68"/>
    </row>
    <row r="12" spans="1:14" ht="19.5" customHeight="1" x14ac:dyDescent="0.25">
      <c r="A12" s="14" t="s">
        <v>22</v>
      </c>
      <c r="B12" s="15"/>
      <c r="C12" s="16">
        <v>147</v>
      </c>
      <c r="D12" s="16">
        <v>147</v>
      </c>
      <c r="E12" s="17">
        <v>359.58</v>
      </c>
      <c r="F12" s="17">
        <v>347.56281232380496</v>
      </c>
      <c r="G12" s="18">
        <f>[2]Budget!G20</f>
        <v>257</v>
      </c>
      <c r="H12" s="16">
        <f t="shared" si="2"/>
        <v>-90.562812323804962</v>
      </c>
      <c r="I12" s="19"/>
      <c r="J12" s="68"/>
      <c r="K12" s="68"/>
    </row>
    <row r="13" spans="1:14" ht="33.75" customHeight="1" x14ac:dyDescent="0.25">
      <c r="A13" s="14" t="s">
        <v>23</v>
      </c>
      <c r="B13" s="15"/>
      <c r="C13" s="16">
        <v>153</v>
      </c>
      <c r="D13" s="16">
        <v>153</v>
      </c>
      <c r="E13" s="17">
        <v>333.03</v>
      </c>
      <c r="F13" s="17">
        <v>278.05024985904396</v>
      </c>
      <c r="G13" s="18">
        <f>[2]Budget!G21</f>
        <v>307</v>
      </c>
      <c r="H13" s="16">
        <f t="shared" si="2"/>
        <v>28.949750140956041</v>
      </c>
      <c r="I13" s="19"/>
      <c r="J13" s="68"/>
      <c r="K13" s="68"/>
    </row>
    <row r="14" spans="1:14" ht="19.5" customHeight="1" x14ac:dyDescent="0.25">
      <c r="A14" s="20" t="s">
        <v>24</v>
      </c>
      <c r="B14" s="21"/>
      <c r="C14" s="16">
        <f t="shared" ref="C14:F14" si="3">SUM(C10:C13)</f>
        <v>3457</v>
      </c>
      <c r="D14" s="16">
        <f t="shared" si="3"/>
        <v>3457</v>
      </c>
      <c r="E14" s="16">
        <f t="shared" si="3"/>
        <v>4788.22</v>
      </c>
      <c r="F14" s="16">
        <f t="shared" si="3"/>
        <v>4983.1868382616158</v>
      </c>
      <c r="G14" s="24">
        <f>SUM(G10:G13)</f>
        <v>5811</v>
      </c>
      <c r="H14" s="16">
        <f>SUM(H10:H13)</f>
        <v>827.813161738384</v>
      </c>
      <c r="I14" s="23">
        <f>G14/$G$19</f>
        <v>6.2342427395908208E-2</v>
      </c>
      <c r="J14" s="68" t="s">
        <v>25</v>
      </c>
      <c r="K14" s="68"/>
    </row>
    <row r="15" spans="1:14" ht="5.25" customHeight="1" x14ac:dyDescent="0.25">
      <c r="A15" s="20"/>
      <c r="B15" s="21"/>
      <c r="C15" s="16"/>
      <c r="D15" s="16"/>
      <c r="E15" s="17"/>
      <c r="F15" s="17"/>
      <c r="G15" s="18"/>
      <c r="H15" s="22"/>
      <c r="I15" s="19"/>
      <c r="J15" s="68"/>
      <c r="K15" s="68"/>
    </row>
    <row r="16" spans="1:14" ht="18.75" customHeight="1" x14ac:dyDescent="0.25">
      <c r="A16" s="25" t="s">
        <v>26</v>
      </c>
      <c r="B16" s="21"/>
      <c r="C16" s="16">
        <v>500</v>
      </c>
      <c r="D16" s="16">
        <v>500</v>
      </c>
      <c r="E16" s="17">
        <v>500</v>
      </c>
      <c r="F16" s="17">
        <v>500</v>
      </c>
      <c r="G16" s="18">
        <v>500</v>
      </c>
      <c r="H16" s="16">
        <f t="shared" ref="H16" si="4">F16-E16</f>
        <v>0</v>
      </c>
      <c r="I16" s="19"/>
      <c r="J16" s="68"/>
      <c r="K16" s="68"/>
    </row>
    <row r="17" spans="1:12" ht="26.25" customHeight="1" x14ac:dyDescent="0.25">
      <c r="A17" s="20" t="s">
        <v>27</v>
      </c>
      <c r="B17" s="21"/>
      <c r="C17" s="16">
        <f t="shared" ref="C17:F17" si="5">SUM(C16)</f>
        <v>500</v>
      </c>
      <c r="D17" s="16">
        <f t="shared" si="5"/>
        <v>500</v>
      </c>
      <c r="E17" s="16">
        <f t="shared" si="5"/>
        <v>500</v>
      </c>
      <c r="F17" s="16">
        <f t="shared" si="5"/>
        <v>500</v>
      </c>
      <c r="G17" s="24">
        <f>SUM(G16)</f>
        <v>500</v>
      </c>
      <c r="H17" s="16">
        <f>SUM(H16)</f>
        <v>0</v>
      </c>
      <c r="I17" s="23">
        <f>G17/$G$19</f>
        <v>5.364173756316315E-3</v>
      </c>
      <c r="J17" s="68"/>
      <c r="K17" s="68"/>
    </row>
    <row r="18" spans="1:12" ht="4.5" customHeight="1" x14ac:dyDescent="0.25">
      <c r="A18" s="20"/>
      <c r="B18" s="21"/>
      <c r="C18" s="16"/>
      <c r="D18" s="16"/>
      <c r="E18" s="17"/>
      <c r="F18" s="17"/>
      <c r="G18" s="18"/>
      <c r="H18" s="22"/>
      <c r="I18" s="19"/>
      <c r="J18" s="68"/>
      <c r="K18" s="68"/>
    </row>
    <row r="19" spans="1:12" ht="17.25" customHeight="1" x14ac:dyDescent="0.25">
      <c r="A19" s="20" t="s">
        <v>28</v>
      </c>
      <c r="B19" s="21"/>
      <c r="C19" s="16">
        <v>65857</v>
      </c>
      <c r="D19" s="16">
        <v>74746</v>
      </c>
      <c r="E19" s="17">
        <v>83288.22</v>
      </c>
      <c r="F19" s="17">
        <v>87383.186838261609</v>
      </c>
      <c r="G19" s="18">
        <f>G17+G14+G8</f>
        <v>93211</v>
      </c>
      <c r="H19" s="22">
        <f>H17+H14+H8</f>
        <v>5827.8131617383842</v>
      </c>
      <c r="I19" s="19"/>
      <c r="J19" s="68" t="s">
        <v>29</v>
      </c>
      <c r="K19" s="68"/>
    </row>
    <row r="20" spans="1:12" ht="3.75" customHeight="1" x14ac:dyDescent="0.25">
      <c r="A20" s="14"/>
      <c r="B20" s="15"/>
      <c r="C20" s="16"/>
      <c r="D20" s="16"/>
      <c r="E20" s="17"/>
      <c r="F20" s="17"/>
      <c r="G20" s="18"/>
      <c r="H20" s="22"/>
      <c r="I20" s="19"/>
      <c r="J20" s="68"/>
      <c r="K20" s="68"/>
    </row>
    <row r="21" spans="1:12" ht="19.5" customHeight="1" x14ac:dyDescent="0.25">
      <c r="A21" s="14" t="s">
        <v>30</v>
      </c>
      <c r="B21" s="15"/>
      <c r="C21" s="16">
        <v>32500</v>
      </c>
      <c r="D21" s="16">
        <v>38500</v>
      </c>
      <c r="E21" s="17">
        <v>43132</v>
      </c>
      <c r="F21" s="17">
        <v>46200</v>
      </c>
      <c r="G21" s="18">
        <f>G3+G4</f>
        <v>47866</v>
      </c>
      <c r="H21" s="16">
        <f t="shared" ref="H21:H23" si="6">F21-E21</f>
        <v>3068</v>
      </c>
      <c r="I21" s="23">
        <f>G21/$G$19</f>
        <v>0.51352308203967345</v>
      </c>
      <c r="J21" s="68"/>
      <c r="K21" s="68"/>
    </row>
    <row r="22" spans="1:12" ht="19.5" customHeight="1" x14ac:dyDescent="0.25">
      <c r="A22" s="14" t="s">
        <v>31</v>
      </c>
      <c r="B22" s="15"/>
      <c r="C22" s="16">
        <v>33357</v>
      </c>
      <c r="D22" s="16">
        <v>36246</v>
      </c>
      <c r="E22" s="17">
        <v>40156.22</v>
      </c>
      <c r="F22" s="17">
        <v>41183.186838261616</v>
      </c>
      <c r="G22" s="18">
        <f>G5+G6+G7+G14+G17</f>
        <v>45345</v>
      </c>
      <c r="H22" s="16">
        <f t="shared" si="6"/>
        <v>1026.9668382616146</v>
      </c>
      <c r="I22" s="23">
        <f>G22/$G$19</f>
        <v>0.48647691796032655</v>
      </c>
      <c r="J22" s="68"/>
      <c r="K22" s="68"/>
    </row>
    <row r="23" spans="1:12" ht="19.5" customHeight="1" x14ac:dyDescent="0.25">
      <c r="A23" s="20" t="s">
        <v>28</v>
      </c>
      <c r="B23" s="21"/>
      <c r="C23" s="16">
        <v>65857</v>
      </c>
      <c r="D23" s="16">
        <v>74746</v>
      </c>
      <c r="E23" s="17">
        <v>83288.22</v>
      </c>
      <c r="F23" s="17">
        <v>87383.186838261609</v>
      </c>
      <c r="G23" s="18">
        <f>SUM(G21:G22)</f>
        <v>93211</v>
      </c>
      <c r="H23" s="16">
        <f t="shared" si="6"/>
        <v>4094.9668382616073</v>
      </c>
      <c r="I23" s="19"/>
      <c r="J23" s="68"/>
      <c r="K23" s="68"/>
    </row>
    <row r="24" spans="1:12" ht="6" customHeight="1" x14ac:dyDescent="0.25">
      <c r="A24" s="14"/>
      <c r="B24" s="15"/>
      <c r="C24" s="16"/>
      <c r="D24" s="16"/>
      <c r="E24" s="17"/>
      <c r="F24" s="17"/>
      <c r="G24" s="18"/>
      <c r="H24" s="22"/>
      <c r="I24" s="19"/>
      <c r="J24" s="68"/>
      <c r="K24" s="68"/>
    </row>
    <row r="25" spans="1:12" ht="24" customHeight="1" x14ac:dyDescent="0.25">
      <c r="A25" s="14" t="s">
        <v>32</v>
      </c>
      <c r="B25" s="15"/>
      <c r="C25" s="26">
        <v>15.5</v>
      </c>
      <c r="D25" s="26">
        <v>14.5</v>
      </c>
      <c r="E25" s="27">
        <v>12.5</v>
      </c>
      <c r="F25" s="27">
        <v>10.149750000000001</v>
      </c>
      <c r="G25" s="28">
        <f>G80</f>
        <v>10.98875</v>
      </c>
      <c r="H25" s="26"/>
      <c r="I25" s="19"/>
      <c r="J25" s="68"/>
      <c r="K25" s="68"/>
    </row>
    <row r="26" spans="1:12" ht="19.5" customHeight="1" x14ac:dyDescent="0.25">
      <c r="A26" s="14" t="s">
        <v>30</v>
      </c>
      <c r="B26" s="15"/>
      <c r="C26" s="16">
        <v>2096.7741935483873</v>
      </c>
      <c r="D26" s="16">
        <v>2655.1724137931033</v>
      </c>
      <c r="E26" s="17">
        <v>3450.56</v>
      </c>
      <c r="F26" s="17">
        <v>4551.8362521244362</v>
      </c>
      <c r="G26" s="18">
        <f>G21/G25</f>
        <v>4355.9094528495052</v>
      </c>
      <c r="H26" s="26"/>
      <c r="I26" s="19"/>
      <c r="J26" s="68"/>
      <c r="K26" s="68"/>
    </row>
    <row r="27" spans="1:12" ht="19.5" customHeight="1" x14ac:dyDescent="0.25">
      <c r="A27" s="14" t="s">
        <v>31</v>
      </c>
      <c r="B27" s="15"/>
      <c r="C27" s="16">
        <v>2152.0645161290322</v>
      </c>
      <c r="D27" s="16">
        <v>2499.7241379310344</v>
      </c>
      <c r="E27" s="17">
        <v>3212.4976000000001</v>
      </c>
      <c r="F27" s="17">
        <v>4057.556771177774</v>
      </c>
      <c r="G27" s="18">
        <f>G22/G25</f>
        <v>4126.4930042088499</v>
      </c>
      <c r="H27" s="26"/>
      <c r="I27" s="19"/>
      <c r="J27" s="68"/>
      <c r="K27" s="68"/>
    </row>
    <row r="28" spans="1:12" ht="33.75" customHeight="1" x14ac:dyDescent="0.25">
      <c r="A28" s="20" t="s">
        <v>33</v>
      </c>
      <c r="B28" s="21"/>
      <c r="C28" s="16">
        <v>4248.8387096774195</v>
      </c>
      <c r="D28" s="16">
        <v>5154.8965517241377</v>
      </c>
      <c r="E28" s="17">
        <v>6663.0576000000001</v>
      </c>
      <c r="F28" s="17">
        <v>8609.3930233022093</v>
      </c>
      <c r="G28" s="18">
        <f>G19/G25</f>
        <v>8482.4024570583551</v>
      </c>
      <c r="H28" s="26"/>
      <c r="I28" s="19"/>
      <c r="J28" s="68"/>
      <c r="K28" s="68"/>
    </row>
    <row r="29" spans="1:12" ht="5.25" customHeight="1" x14ac:dyDescent="0.25">
      <c r="A29" s="14"/>
      <c r="B29" s="15"/>
      <c r="C29" s="16"/>
      <c r="D29" s="16"/>
      <c r="E29" s="17"/>
      <c r="F29" s="17"/>
      <c r="G29" s="17"/>
      <c r="H29" s="22"/>
      <c r="I29" s="19"/>
    </row>
    <row r="30" spans="1:12" ht="45" x14ac:dyDescent="0.25">
      <c r="A30" s="14" t="s">
        <v>34</v>
      </c>
      <c r="B30" s="6"/>
      <c r="C30" s="7" t="s">
        <v>1</v>
      </c>
      <c r="D30" s="7" t="s">
        <v>2</v>
      </c>
      <c r="E30" s="8" t="s">
        <v>3</v>
      </c>
      <c r="F30" s="8" t="s">
        <v>4</v>
      </c>
      <c r="G30" s="9" t="s">
        <v>5</v>
      </c>
      <c r="H30" s="10" t="s">
        <v>6</v>
      </c>
      <c r="I30" s="11" t="s">
        <v>7</v>
      </c>
      <c r="J30" s="72" t="s">
        <v>35</v>
      </c>
      <c r="K30" s="73"/>
      <c r="L30" s="10" t="s">
        <v>36</v>
      </c>
    </row>
    <row r="31" spans="1:12" ht="30" x14ac:dyDescent="0.25">
      <c r="A31" s="29" t="s">
        <v>37</v>
      </c>
      <c r="B31" s="30"/>
      <c r="C31" s="31">
        <v>48782.962962962964</v>
      </c>
      <c r="D31" s="31">
        <v>55367.407407407401</v>
      </c>
      <c r="E31" s="32">
        <v>59967.518400000001</v>
      </c>
      <c r="F31" s="32">
        <v>57280.444132285433</v>
      </c>
      <c r="G31" s="32">
        <f>L31</f>
        <v>63525.96815286624</v>
      </c>
      <c r="H31" s="31">
        <f>G31-F31</f>
        <v>6245.5240205808077</v>
      </c>
      <c r="I31" s="33">
        <f>G31/$G$63</f>
        <v>0.68152866242038213</v>
      </c>
      <c r="J31" s="34">
        <f>G31+K31</f>
        <v>69878.564968152859</v>
      </c>
      <c r="K31" s="35">
        <f>G31*10%</f>
        <v>6352.5968152866244</v>
      </c>
      <c r="L31" s="31">
        <f>'[3]B-Total Shared Costs All Ctrs'!$D$148</f>
        <v>63525.96815286624</v>
      </c>
    </row>
    <row r="32" spans="1:12" ht="37.5" customHeight="1" x14ac:dyDescent="0.25">
      <c r="A32" s="36" t="s">
        <v>38</v>
      </c>
      <c r="B32" s="15">
        <f>[2]Budget!D38</f>
        <v>0.37344913151364767</v>
      </c>
      <c r="C32" s="16">
        <v>18049.696296296297</v>
      </c>
      <c r="D32" s="16">
        <v>20485.940740740738</v>
      </c>
      <c r="E32" s="17">
        <v>22247.949326400001</v>
      </c>
      <c r="F32" s="17">
        <v>21480.166549607038</v>
      </c>
      <c r="G32" s="18">
        <f>G31*B32</f>
        <v>23723.717635251538</v>
      </c>
      <c r="H32" s="22"/>
      <c r="I32" s="19"/>
      <c r="J32" s="37"/>
      <c r="K32" s="38"/>
      <c r="L32" s="22"/>
    </row>
    <row r="33" spans="1:15" ht="37.5" customHeight="1" x14ac:dyDescent="0.25">
      <c r="A33" s="36" t="s">
        <v>39</v>
      </c>
      <c r="B33" s="15">
        <f>[2]Budget!D39</f>
        <v>0.37344913151364767</v>
      </c>
      <c r="C33" s="16">
        <v>18049.696296296297</v>
      </c>
      <c r="D33" s="16">
        <v>20485.940740740738</v>
      </c>
      <c r="E33" s="17">
        <v>22247.949326400001</v>
      </c>
      <c r="F33" s="17">
        <v>21480.166549607038</v>
      </c>
      <c r="G33" s="18">
        <f>G31*B33</f>
        <v>23723.717635251538</v>
      </c>
      <c r="H33" s="22"/>
      <c r="I33" s="19"/>
      <c r="J33" s="37"/>
      <c r="K33" s="38"/>
      <c r="L33" s="22"/>
    </row>
    <row r="34" spans="1:15" ht="15" customHeight="1" x14ac:dyDescent="0.25">
      <c r="A34" s="36" t="s">
        <v>40</v>
      </c>
      <c r="B34" s="15">
        <f>[2]Budget!D42</f>
        <v>0.25310173697270472</v>
      </c>
      <c r="C34" s="16"/>
      <c r="D34" s="16">
        <v>14395.525925925926</v>
      </c>
      <c r="E34" s="17">
        <v>15471.6197472</v>
      </c>
      <c r="F34" s="17">
        <v>14320.111033071358</v>
      </c>
      <c r="G34" s="18">
        <f>G31*B34</f>
        <v>16078.532882363168</v>
      </c>
      <c r="H34" s="22"/>
      <c r="I34" s="19"/>
      <c r="J34" s="37"/>
      <c r="K34" s="38"/>
      <c r="L34" s="22"/>
    </row>
    <row r="35" spans="1:15" x14ac:dyDescent="0.25">
      <c r="A35" s="29" t="s">
        <v>41</v>
      </c>
      <c r="B35" s="30"/>
      <c r="C35" s="31">
        <v>1219.5740740740739</v>
      </c>
      <c r="D35" s="31">
        <v>1384.1851851851852</v>
      </c>
      <c r="E35" s="32">
        <v>1665.7644</v>
      </c>
      <c r="F35" s="32">
        <v>2122.2153802439948</v>
      </c>
      <c r="G35" s="32">
        <f>L35</f>
        <v>2120.3594176524111</v>
      </c>
      <c r="H35" s="31">
        <f>G35-F35</f>
        <v>-1.8559625915836477</v>
      </c>
      <c r="I35" s="33">
        <f>G35/$G$63</f>
        <v>2.2747952684258416E-2</v>
      </c>
      <c r="J35" s="34">
        <f>G35+K35</f>
        <v>2332.3953594176523</v>
      </c>
      <c r="K35" s="35">
        <f>G35*10%</f>
        <v>212.03594176524112</v>
      </c>
      <c r="L35" s="31">
        <f>'[3]B-Total Shared Costs All Ctrs'!$E$148</f>
        <v>2120.3594176524111</v>
      </c>
    </row>
    <row r="36" spans="1:15" x14ac:dyDescent="0.25">
      <c r="A36" s="36" t="s">
        <v>42</v>
      </c>
      <c r="B36" s="15">
        <v>1</v>
      </c>
      <c r="C36" s="16">
        <v>1219.5740740740739</v>
      </c>
      <c r="D36" s="16">
        <v>1384.1851851851852</v>
      </c>
      <c r="E36" s="17">
        <v>1665.7644</v>
      </c>
      <c r="F36" s="17">
        <v>2122.2153802439948</v>
      </c>
      <c r="G36" s="18">
        <f>G35*B36</f>
        <v>2120.3594176524111</v>
      </c>
      <c r="H36" s="22"/>
      <c r="I36" s="19"/>
      <c r="J36" s="37"/>
      <c r="K36" s="38"/>
      <c r="L36" s="22"/>
    </row>
    <row r="37" spans="1:15" x14ac:dyDescent="0.25">
      <c r="A37" s="29" t="s">
        <v>43</v>
      </c>
      <c r="B37" s="30"/>
      <c r="C37" s="31">
        <v>1219.5740740740739</v>
      </c>
      <c r="D37" s="31">
        <v>1384.1851851851852</v>
      </c>
      <c r="E37" s="32">
        <v>1665.7644</v>
      </c>
      <c r="F37" s="32">
        <v>2152.3482558255523</v>
      </c>
      <c r="G37" s="32">
        <f>L37</f>
        <v>2120.3594176524111</v>
      </c>
      <c r="H37" s="31">
        <f>G37-F37</f>
        <v>-31.988838173141176</v>
      </c>
      <c r="I37" s="33">
        <f>G37/$G$63</f>
        <v>2.2747952684258416E-2</v>
      </c>
      <c r="J37" s="34">
        <f>G37+K37</f>
        <v>2332.3953594176523</v>
      </c>
      <c r="K37" s="35">
        <f>G37*10%</f>
        <v>212.03594176524112</v>
      </c>
      <c r="L37" s="31">
        <f>'[3]B-Total Shared Costs All Ctrs'!$F$148</f>
        <v>2120.3594176524111</v>
      </c>
    </row>
    <row r="38" spans="1:15" ht="37.5" customHeight="1" x14ac:dyDescent="0.25">
      <c r="A38" s="36" t="s">
        <v>44</v>
      </c>
      <c r="B38" s="15">
        <v>0.5</v>
      </c>
      <c r="C38" s="16">
        <v>609.78703703703695</v>
      </c>
      <c r="D38" s="16">
        <v>692.09259259259261</v>
      </c>
      <c r="E38" s="17">
        <v>832.88220000000001</v>
      </c>
      <c r="F38" s="17">
        <v>1076.1741279127762</v>
      </c>
      <c r="G38" s="18">
        <f>G37*B38</f>
        <v>1060.1797088262056</v>
      </c>
      <c r="H38" s="22"/>
      <c r="I38" s="19"/>
      <c r="J38" s="37"/>
      <c r="K38" s="38"/>
      <c r="L38" s="22"/>
    </row>
    <row r="39" spans="1:15" ht="37.5" customHeight="1" x14ac:dyDescent="0.25">
      <c r="A39" s="36" t="s">
        <v>39</v>
      </c>
      <c r="B39" s="15">
        <v>0.5</v>
      </c>
      <c r="C39" s="16">
        <v>609.78703703703695</v>
      </c>
      <c r="D39" s="16">
        <v>692.09259259259261</v>
      </c>
      <c r="E39" s="17">
        <v>832.88220000000001</v>
      </c>
      <c r="F39" s="17">
        <v>1076.1741279127762</v>
      </c>
      <c r="G39" s="18">
        <f>G37*B39</f>
        <v>1060.1797088262056</v>
      </c>
      <c r="H39" s="22"/>
      <c r="I39" s="19"/>
      <c r="J39" s="37"/>
      <c r="K39" s="38"/>
      <c r="L39" s="22"/>
    </row>
    <row r="40" spans="1:15" x14ac:dyDescent="0.25">
      <c r="A40" s="29" t="s">
        <v>45</v>
      </c>
      <c r="B40" s="30"/>
      <c r="C40" s="31">
        <v>3658.7222222222222</v>
      </c>
      <c r="D40" s="31">
        <v>4152.5555555555557</v>
      </c>
      <c r="E40" s="32">
        <v>4997.2932000000001</v>
      </c>
      <c r="F40" s="32">
        <v>6457.0447674766574</v>
      </c>
      <c r="G40" s="32">
        <f t="shared" ref="G40:G44" si="7">L40</f>
        <v>6361.0782529572334</v>
      </c>
      <c r="H40" s="31">
        <f>G40-F40</f>
        <v>-95.966514519423981</v>
      </c>
      <c r="I40" s="33">
        <f>G40/$G$63</f>
        <v>6.8243858052775247E-2</v>
      </c>
      <c r="J40" s="34">
        <f>K40+G40</f>
        <v>6997.1860782529566</v>
      </c>
      <c r="K40" s="35">
        <f t="shared" ref="K40:K45" si="8">G40*10%</f>
        <v>636.10782529572339</v>
      </c>
      <c r="L40" s="31">
        <f>'[3]B-Total Shared Costs All Ctrs'!$G$148</f>
        <v>6361.0782529572334</v>
      </c>
    </row>
    <row r="41" spans="1:15" x14ac:dyDescent="0.25">
      <c r="A41" s="29" t="s">
        <v>46</v>
      </c>
      <c r="B41" s="30"/>
      <c r="C41" s="31">
        <v>1219.5740740740739</v>
      </c>
      <c r="D41" s="31">
        <v>1384.1851851851852</v>
      </c>
      <c r="E41" s="32">
        <v>1665.7644</v>
      </c>
      <c r="F41" s="32">
        <v>2152.3482558255523</v>
      </c>
      <c r="G41" s="32">
        <f t="shared" si="7"/>
        <v>2120.3594176524111</v>
      </c>
      <c r="H41" s="31">
        <f t="shared" ref="H41:H44" si="9">G41-F41</f>
        <v>-31.988838173141176</v>
      </c>
      <c r="I41" s="33">
        <f t="shared" ref="I41:I44" si="10">G41/$G$63</f>
        <v>2.2747952684258416E-2</v>
      </c>
      <c r="J41" s="34">
        <f t="shared" ref="J41:J44" si="11">K41+G41</f>
        <v>2332.3953594176523</v>
      </c>
      <c r="K41" s="35">
        <f t="shared" si="8"/>
        <v>212.03594176524112</v>
      </c>
      <c r="L41" s="31">
        <f>'[3]B-Total Shared Costs All Ctrs'!$H$148</f>
        <v>2120.3594176524111</v>
      </c>
    </row>
    <row r="42" spans="1:15" x14ac:dyDescent="0.25">
      <c r="A42" s="29" t="s">
        <v>47</v>
      </c>
      <c r="B42" s="30"/>
      <c r="C42" s="31">
        <v>1219.5740740740739</v>
      </c>
      <c r="D42" s="31">
        <v>1384.1851851851852</v>
      </c>
      <c r="E42" s="32">
        <v>1665.7644</v>
      </c>
      <c r="F42" s="32">
        <v>2152.3482558255523</v>
      </c>
      <c r="G42" s="32">
        <f t="shared" si="7"/>
        <v>2120.3594176524111</v>
      </c>
      <c r="H42" s="31">
        <f t="shared" si="9"/>
        <v>-31.988838173141176</v>
      </c>
      <c r="I42" s="33">
        <f t="shared" si="10"/>
        <v>2.2747952684258416E-2</v>
      </c>
      <c r="J42" s="34">
        <f t="shared" si="11"/>
        <v>2332.3953594176523</v>
      </c>
      <c r="K42" s="35">
        <f t="shared" si="8"/>
        <v>212.03594176524112</v>
      </c>
      <c r="L42" s="31">
        <f>'[3]B-Total Shared Costs All Ctrs'!$I$148</f>
        <v>2120.3594176524111</v>
      </c>
    </row>
    <row r="43" spans="1:15" x14ac:dyDescent="0.25">
      <c r="A43" s="29" t="s">
        <v>48</v>
      </c>
      <c r="B43" s="30"/>
      <c r="C43" s="31">
        <v>1219.5740740740739</v>
      </c>
      <c r="D43" s="31">
        <v>1384.1851851851852</v>
      </c>
      <c r="E43" s="32">
        <v>1665.7644</v>
      </c>
      <c r="F43" s="32">
        <v>2152.3482558255523</v>
      </c>
      <c r="G43" s="32">
        <f t="shared" si="7"/>
        <v>2120.3594176524111</v>
      </c>
      <c r="H43" s="31">
        <f t="shared" si="9"/>
        <v>-31.988838173141176</v>
      </c>
      <c r="I43" s="33">
        <f t="shared" si="10"/>
        <v>2.2747952684258416E-2</v>
      </c>
      <c r="J43" s="34">
        <f t="shared" si="11"/>
        <v>2332.3953594176523</v>
      </c>
      <c r="K43" s="35">
        <f t="shared" si="8"/>
        <v>212.03594176524112</v>
      </c>
      <c r="L43" s="31">
        <f>'[3]B-Total Shared Costs All Ctrs'!$J$148</f>
        <v>2120.3594176524111</v>
      </c>
    </row>
    <row r="44" spans="1:15" x14ac:dyDescent="0.25">
      <c r="A44" s="29" t="s">
        <v>49</v>
      </c>
      <c r="B44" s="30"/>
      <c r="C44" s="31">
        <v>1219.5740740740739</v>
      </c>
      <c r="D44" s="31">
        <v>1384.1851851851852</v>
      </c>
      <c r="E44" s="32">
        <v>1665.7644</v>
      </c>
      <c r="F44" s="32">
        <v>2152.3482558255523</v>
      </c>
      <c r="G44" s="32">
        <f t="shared" si="7"/>
        <v>2120.3594176524111</v>
      </c>
      <c r="H44" s="31">
        <f t="shared" si="9"/>
        <v>-31.988838173141176</v>
      </c>
      <c r="I44" s="33">
        <f t="shared" si="10"/>
        <v>2.2747952684258416E-2</v>
      </c>
      <c r="J44" s="34">
        <f t="shared" si="11"/>
        <v>2332.3953594176523</v>
      </c>
      <c r="K44" s="35">
        <f t="shared" si="8"/>
        <v>212.03594176524112</v>
      </c>
      <c r="L44" s="31">
        <f>'[3]B-Total Shared Costs All Ctrs'!$K$148</f>
        <v>2120.3594176524111</v>
      </c>
      <c r="O44" s="3"/>
    </row>
    <row r="45" spans="1:15" x14ac:dyDescent="0.25">
      <c r="A45" s="25" t="s">
        <v>50</v>
      </c>
      <c r="B45" s="39">
        <v>1</v>
      </c>
      <c r="C45" s="16">
        <v>8537.0185185185182</v>
      </c>
      <c r="D45" s="16">
        <v>9689.2962962962956</v>
      </c>
      <c r="E45" s="17">
        <v>11660.3508</v>
      </c>
      <c r="F45" s="16">
        <v>15066.437790778868</v>
      </c>
      <c r="G45" s="24">
        <f>SUM(G40:G44)</f>
        <v>14842.515923566878</v>
      </c>
      <c r="H45" s="22">
        <f>G45-F45</f>
        <v>-223.92186721198959</v>
      </c>
      <c r="I45" s="19">
        <f>SUM(I40:I44)</f>
        <v>0.15923566878980891</v>
      </c>
      <c r="J45" s="37">
        <f t="shared" ref="J45" si="12">SUM(J40:J44)</f>
        <v>16326.767515923568</v>
      </c>
      <c r="K45" s="38">
        <f t="shared" si="8"/>
        <v>1484.251592356688</v>
      </c>
      <c r="L45" s="22"/>
    </row>
    <row r="46" spans="1:15" x14ac:dyDescent="0.25">
      <c r="A46" s="29" t="s">
        <v>51</v>
      </c>
      <c r="B46" s="30"/>
      <c r="C46" s="31">
        <v>1219.5740740740739</v>
      </c>
      <c r="D46" s="31">
        <v>1384.1851851851852</v>
      </c>
      <c r="E46" s="32">
        <v>1665.7644</v>
      </c>
      <c r="F46" s="32">
        <v>2152.3482558255523</v>
      </c>
      <c r="G46" s="32">
        <f>L46</f>
        <v>2120.3594176524111</v>
      </c>
      <c r="H46" s="31">
        <f>G46-F46</f>
        <v>-31.988838173141176</v>
      </c>
      <c r="I46" s="33">
        <f>G46/$G$63</f>
        <v>2.2747952684258416E-2</v>
      </c>
      <c r="J46" s="34">
        <f>G46+K46</f>
        <v>2332.3953594176523</v>
      </c>
      <c r="K46" s="35">
        <f>G46*10%</f>
        <v>212.03594176524112</v>
      </c>
      <c r="L46" s="31">
        <f>'[3]B-Total Shared Costs All Ctrs'!$L$148</f>
        <v>2120.3594176524111</v>
      </c>
    </row>
    <row r="47" spans="1:15" s="42" customFormat="1" ht="30.75" customHeight="1" x14ac:dyDescent="0.25">
      <c r="A47" s="36" t="s">
        <v>52</v>
      </c>
      <c r="B47" s="15">
        <f>5/14</f>
        <v>0.35714285714285715</v>
      </c>
      <c r="C47" s="16">
        <v>435.56216931216926</v>
      </c>
      <c r="D47" s="16">
        <v>494.35185185185185</v>
      </c>
      <c r="E47" s="17">
        <v>594.91585714285713</v>
      </c>
      <c r="F47" s="17">
        <v>768.69580565198294</v>
      </c>
      <c r="G47" s="18">
        <f>$G$46*B47</f>
        <v>757.27122059014687</v>
      </c>
      <c r="H47" s="22"/>
      <c r="I47" s="23"/>
      <c r="J47" s="40"/>
      <c r="K47" s="26"/>
      <c r="L47" s="16"/>
      <c r="M47" s="41"/>
      <c r="N47" s="41"/>
    </row>
    <row r="48" spans="1:15" ht="31.5" customHeight="1" x14ac:dyDescent="0.25">
      <c r="A48" s="36" t="s">
        <v>53</v>
      </c>
      <c r="B48" s="15">
        <f>6/14</f>
        <v>0.42857142857142855</v>
      </c>
      <c r="C48" s="16">
        <v>522.67460317460302</v>
      </c>
      <c r="D48" s="16">
        <v>593.22222222222217</v>
      </c>
      <c r="E48" s="17">
        <v>713.89902857142852</v>
      </c>
      <c r="F48" s="17">
        <v>922.43496678237955</v>
      </c>
      <c r="G48" s="18">
        <f t="shared" ref="G48:G49" si="13">$G$46*B48</f>
        <v>908.7254647081761</v>
      </c>
      <c r="H48" s="22"/>
      <c r="I48" s="19"/>
      <c r="J48" s="37"/>
      <c r="K48" s="38"/>
      <c r="L48" s="22"/>
    </row>
    <row r="49" spans="1:14" ht="30.75" customHeight="1" x14ac:dyDescent="0.25">
      <c r="A49" s="36" t="s">
        <v>54</v>
      </c>
      <c r="B49" s="15">
        <f>3/14</f>
        <v>0.21428571428571427</v>
      </c>
      <c r="C49" s="16">
        <v>261.33730158730151</v>
      </c>
      <c r="D49" s="16">
        <v>296.61111111111109</v>
      </c>
      <c r="E49" s="17">
        <v>356.94951428571426</v>
      </c>
      <c r="F49" s="17">
        <v>461.21748339118977</v>
      </c>
      <c r="G49" s="18">
        <f t="shared" si="13"/>
        <v>454.36273235408805</v>
      </c>
      <c r="H49" s="22"/>
      <c r="I49" s="19"/>
      <c r="J49" s="37"/>
      <c r="K49" s="38"/>
      <c r="L49" s="22"/>
    </row>
    <row r="50" spans="1:14" x14ac:dyDescent="0.25">
      <c r="A50" s="43" t="s">
        <v>55</v>
      </c>
      <c r="B50" s="44"/>
      <c r="C50" s="45">
        <v>1219.5740740740739</v>
      </c>
      <c r="D50" s="45">
        <v>1384.1851851851852</v>
      </c>
      <c r="E50" s="46">
        <v>1665.7644</v>
      </c>
      <c r="F50" s="32">
        <v>2152.3482558255523</v>
      </c>
      <c r="G50" s="32">
        <f>L50</f>
        <v>2120.3594176524111</v>
      </c>
      <c r="H50" s="31">
        <f>G50-F50</f>
        <v>-31.988838173141176</v>
      </c>
      <c r="I50" s="33">
        <f>G50/$G$63</f>
        <v>2.2747952684258416E-2</v>
      </c>
      <c r="J50" s="34">
        <f>G50+K50</f>
        <v>2332.3953594176523</v>
      </c>
      <c r="K50" s="35">
        <f>G50*10%</f>
        <v>212.03594176524112</v>
      </c>
      <c r="L50" s="31">
        <f>'[3]B-Total Shared Costs All Ctrs'!$M$148</f>
        <v>2120.3594176524111</v>
      </c>
    </row>
    <row r="51" spans="1:14" ht="31.5" customHeight="1" x14ac:dyDescent="0.25">
      <c r="A51" s="36" t="s">
        <v>52</v>
      </c>
      <c r="B51" s="15">
        <f>5/14</f>
        <v>0.35714285714285715</v>
      </c>
      <c r="C51" s="16">
        <v>435.56216931216926</v>
      </c>
      <c r="D51" s="16">
        <v>494.35185185185185</v>
      </c>
      <c r="E51" s="17">
        <v>594.91585714285713</v>
      </c>
      <c r="F51" s="17">
        <v>768.69580565198294</v>
      </c>
      <c r="G51" s="18">
        <f>$G$50*B51</f>
        <v>757.27122059014687</v>
      </c>
      <c r="H51" s="22"/>
      <c r="I51" s="19"/>
      <c r="J51" s="37"/>
      <c r="K51" s="38"/>
      <c r="L51" s="22"/>
    </row>
    <row r="52" spans="1:14" ht="31.5" customHeight="1" x14ac:dyDescent="0.25">
      <c r="A52" s="36" t="s">
        <v>56</v>
      </c>
      <c r="B52" s="15">
        <f>6/14</f>
        <v>0.42857142857142855</v>
      </c>
      <c r="C52" s="16">
        <v>522.67460317460302</v>
      </c>
      <c r="D52" s="16">
        <v>593.22222222222217</v>
      </c>
      <c r="E52" s="17">
        <v>713.89902857142852</v>
      </c>
      <c r="F52" s="17">
        <v>922.43496678237955</v>
      </c>
      <c r="G52" s="18">
        <f t="shared" ref="G52:G53" si="14">$G$50*B52</f>
        <v>908.7254647081761</v>
      </c>
      <c r="H52" s="22"/>
      <c r="I52" s="19"/>
      <c r="J52" s="37"/>
      <c r="K52" s="38"/>
      <c r="L52" s="22"/>
    </row>
    <row r="53" spans="1:14" ht="31.5" customHeight="1" x14ac:dyDescent="0.25">
      <c r="A53" s="36" t="s">
        <v>57</v>
      </c>
      <c r="B53" s="15">
        <f>3/14</f>
        <v>0.21428571428571427</v>
      </c>
      <c r="C53" s="16">
        <v>261.33730158730151</v>
      </c>
      <c r="D53" s="16">
        <v>296.61111111111109</v>
      </c>
      <c r="E53" s="17">
        <v>356.94951428571426</v>
      </c>
      <c r="F53" s="17">
        <v>461.21748339118977</v>
      </c>
      <c r="G53" s="18">
        <f t="shared" si="14"/>
        <v>454.36273235408805</v>
      </c>
      <c r="H53" s="22"/>
      <c r="I53" s="19"/>
      <c r="J53" s="37"/>
      <c r="K53" s="38"/>
      <c r="L53" s="22"/>
    </row>
    <row r="54" spans="1:14" x14ac:dyDescent="0.25">
      <c r="A54" s="29" t="s">
        <v>58</v>
      </c>
      <c r="B54" s="30"/>
      <c r="C54" s="31">
        <v>1219.5740740740739</v>
      </c>
      <c r="D54" s="31">
        <v>1384.1851851851852</v>
      </c>
      <c r="E54" s="32">
        <v>1665.7644</v>
      </c>
      <c r="F54" s="32">
        <v>2152.3482558255523</v>
      </c>
      <c r="G54" s="32">
        <f>L54</f>
        <v>2120.3594176524111</v>
      </c>
      <c r="H54" s="31">
        <f>G54-F54</f>
        <v>-31.988838173141176</v>
      </c>
      <c r="I54" s="33">
        <f>G54/$G$63</f>
        <v>2.2747952684258416E-2</v>
      </c>
      <c r="J54" s="34">
        <f>G54+K54</f>
        <v>2332.3953594176523</v>
      </c>
      <c r="K54" s="35">
        <f>G54*10%</f>
        <v>212.03594176524112</v>
      </c>
      <c r="L54" s="31">
        <f>'[3]B-Total Shared Costs All Ctrs'!$N$148</f>
        <v>2120.3594176524111</v>
      </c>
    </row>
    <row r="55" spans="1:14" s="42" customFormat="1" x14ac:dyDescent="0.25">
      <c r="A55" s="47" t="s">
        <v>59</v>
      </c>
      <c r="B55" s="48">
        <v>1</v>
      </c>
      <c r="C55" s="16">
        <v>1219.5740740740739</v>
      </c>
      <c r="D55" s="16">
        <v>1384.1851851851852</v>
      </c>
      <c r="E55" s="17">
        <v>1665.7644</v>
      </c>
      <c r="F55" s="17">
        <v>2152.3482558255523</v>
      </c>
      <c r="G55" s="18">
        <f>G54*B55</f>
        <v>2120.3594176524111</v>
      </c>
      <c r="H55" s="16"/>
      <c r="I55" s="23"/>
      <c r="J55" s="40"/>
      <c r="K55" s="26"/>
      <c r="L55" s="16"/>
      <c r="M55" s="41"/>
      <c r="N55" s="41"/>
    </row>
    <row r="56" spans="1:14" x14ac:dyDescent="0.25">
      <c r="A56" s="29" t="s">
        <v>60</v>
      </c>
      <c r="B56" s="30"/>
      <c r="C56" s="31">
        <v>1219.5740740740739</v>
      </c>
      <c r="D56" s="31">
        <v>1384.1851851851852</v>
      </c>
      <c r="E56" s="32">
        <v>1665.7644</v>
      </c>
      <c r="F56" s="32">
        <v>2152.3482558255523</v>
      </c>
      <c r="G56" s="32">
        <f>L56</f>
        <v>2120.3594176524111</v>
      </c>
      <c r="H56" s="31">
        <f>G56-F56</f>
        <v>-31.988838173141176</v>
      </c>
      <c r="I56" s="33">
        <f>G56/$G$63</f>
        <v>2.2747952684258416E-2</v>
      </c>
      <c r="J56" s="34">
        <f>G56+K56</f>
        <v>2332.3953594176523</v>
      </c>
      <c r="K56" s="35">
        <f>G56*10%</f>
        <v>212.03594176524112</v>
      </c>
      <c r="L56" s="31">
        <f>'[3]B-Total Shared Costs All Ctrs'!$O$148</f>
        <v>2120.3594176524111</v>
      </c>
    </row>
    <row r="57" spans="1:14" s="42" customFormat="1" x14ac:dyDescent="0.25">
      <c r="A57" s="47" t="s">
        <v>61</v>
      </c>
      <c r="B57" s="48">
        <v>1</v>
      </c>
      <c r="C57" s="16">
        <v>1219.5740740740739</v>
      </c>
      <c r="D57" s="16">
        <v>1384.1851851851852</v>
      </c>
      <c r="E57" s="17">
        <v>1665.7644</v>
      </c>
      <c r="F57" s="17">
        <v>2152.3482558255523</v>
      </c>
      <c r="G57" s="18">
        <f>G56*B57</f>
        <v>2120.3594176524111</v>
      </c>
      <c r="H57" s="16"/>
      <c r="I57" s="23"/>
      <c r="J57" s="40"/>
      <c r="K57" s="26"/>
      <c r="L57" s="16"/>
      <c r="M57" s="41"/>
      <c r="N57" s="41"/>
    </row>
    <row r="58" spans="1:14" x14ac:dyDescent="0.25">
      <c r="A58" s="29" t="s">
        <v>62</v>
      </c>
      <c r="B58" s="30"/>
      <c r="C58" s="31">
        <v>1219.5740740740739</v>
      </c>
      <c r="D58" s="31">
        <v>1384.1851851851852</v>
      </c>
      <c r="E58" s="32">
        <v>1665.7644</v>
      </c>
      <c r="F58" s="32">
        <v>2152.3482558255523</v>
      </c>
      <c r="G58" s="32">
        <f>L58</f>
        <v>2120.3594176524111</v>
      </c>
      <c r="H58" s="31">
        <f>G58-F58</f>
        <v>-31.988838173141176</v>
      </c>
      <c r="I58" s="33">
        <f>G58/$G$63</f>
        <v>2.2747952684258416E-2</v>
      </c>
      <c r="J58" s="34">
        <f>G58+K58</f>
        <v>2332.3953594176523</v>
      </c>
      <c r="K58" s="35">
        <f>G58*10%</f>
        <v>212.03594176524112</v>
      </c>
      <c r="L58" s="31">
        <f>'[3]B-Total Shared Costs All Ctrs'!$P$148</f>
        <v>2120.3594176524111</v>
      </c>
    </row>
    <row r="59" spans="1:14" ht="30" customHeight="1" x14ac:dyDescent="0.25">
      <c r="A59" s="36" t="s">
        <v>63</v>
      </c>
      <c r="B59" s="15">
        <f>3/11</f>
        <v>0.27272727272727271</v>
      </c>
      <c r="C59" s="16">
        <v>332.61111111111103</v>
      </c>
      <c r="D59" s="16">
        <v>377.50505050505046</v>
      </c>
      <c r="E59" s="17">
        <v>454.29938181818181</v>
      </c>
      <c r="F59" s="17">
        <v>587.00406977060516</v>
      </c>
      <c r="G59" s="18">
        <f>$G$58*B59</f>
        <v>578.27984117793028</v>
      </c>
      <c r="H59" s="22"/>
      <c r="I59" s="19"/>
      <c r="J59" s="37"/>
      <c r="K59" s="38"/>
      <c r="L59" s="22"/>
    </row>
    <row r="60" spans="1:14" ht="36" customHeight="1" x14ac:dyDescent="0.25">
      <c r="A60" s="36" t="s">
        <v>64</v>
      </c>
      <c r="B60" s="15">
        <f>4/11</f>
        <v>0.36363636363636365</v>
      </c>
      <c r="C60" s="16">
        <v>443.48148148148141</v>
      </c>
      <c r="D60" s="16">
        <v>503.34006734006738</v>
      </c>
      <c r="E60" s="17">
        <v>605.73250909090916</v>
      </c>
      <c r="F60" s="17">
        <v>782.67209302747358</v>
      </c>
      <c r="G60" s="18">
        <f t="shared" ref="G60:G61" si="15">$G$58*B60</f>
        <v>771.03978823724049</v>
      </c>
      <c r="H60" s="22"/>
      <c r="I60" s="19"/>
      <c r="J60" s="37"/>
      <c r="K60" s="38"/>
      <c r="L60" s="22"/>
    </row>
    <row r="61" spans="1:14" ht="29.25" customHeight="1" x14ac:dyDescent="0.25">
      <c r="A61" s="36" t="s">
        <v>65</v>
      </c>
      <c r="B61" s="15">
        <f>4/11</f>
        <v>0.36363636363636365</v>
      </c>
      <c r="C61" s="16">
        <v>443.48148148148141</v>
      </c>
      <c r="D61" s="16">
        <v>503.34006734006738</v>
      </c>
      <c r="E61" s="17">
        <v>605.73250909090916</v>
      </c>
      <c r="F61" s="17">
        <v>782.67209302747358</v>
      </c>
      <c r="G61" s="18">
        <f t="shared" si="15"/>
        <v>771.03978823724049</v>
      </c>
      <c r="H61" s="22"/>
      <c r="I61" s="19"/>
      <c r="J61" s="37"/>
      <c r="K61" s="38"/>
      <c r="L61" s="22"/>
    </row>
    <row r="62" spans="1:14" ht="5.25" customHeight="1" x14ac:dyDescent="0.25">
      <c r="A62" s="14"/>
      <c r="B62" s="15"/>
      <c r="C62" s="16"/>
      <c r="D62" s="16"/>
      <c r="E62" s="17"/>
      <c r="F62" s="17"/>
      <c r="G62" s="17"/>
      <c r="H62" s="22"/>
      <c r="I62" s="19"/>
      <c r="J62" s="37"/>
      <c r="K62" s="38"/>
      <c r="L62" s="22"/>
    </row>
    <row r="63" spans="1:14" s="2" customFormat="1" x14ac:dyDescent="0.25">
      <c r="A63" s="49"/>
      <c r="B63" s="50"/>
      <c r="C63" s="45">
        <v>65857</v>
      </c>
      <c r="D63" s="45">
        <v>74746</v>
      </c>
      <c r="E63" s="46">
        <v>83288.22</v>
      </c>
      <c r="F63" s="32">
        <v>87383.186838261609</v>
      </c>
      <c r="G63" s="32">
        <f>G58+G56+G54+G50+G46+G44+G43+G42+G41+G40+G37+G35+G31</f>
        <v>93211</v>
      </c>
      <c r="H63" s="46">
        <f>SUM(H31:H58)-H45</f>
        <v>5827.8131617383842</v>
      </c>
      <c r="I63" s="46"/>
      <c r="J63" s="34">
        <f>G63+K63</f>
        <v>102532.1</v>
      </c>
      <c r="K63" s="35">
        <f>G63*10%</f>
        <v>9321.1</v>
      </c>
      <c r="L63" s="32">
        <f>L58+L56+L54+L50+L46+L44+L43+L42+L41+L40+L37+L35+L31</f>
        <v>93211</v>
      </c>
      <c r="M63" s="3"/>
      <c r="N63" s="3"/>
    </row>
    <row r="64" spans="1:14" s="2" customFormat="1" ht="3.75" customHeight="1" x14ac:dyDescent="0.25">
      <c r="A64" s="51"/>
      <c r="B64" s="52"/>
      <c r="C64" s="41"/>
      <c r="D64" s="41"/>
      <c r="E64" s="53"/>
      <c r="F64" s="53"/>
      <c r="G64" s="53"/>
      <c r="H64" s="41"/>
      <c r="I64" s="54"/>
      <c r="J64" s="1"/>
      <c r="L64" s="3"/>
      <c r="M64" s="3"/>
      <c r="N64" s="3"/>
    </row>
    <row r="65" spans="1:14" s="2" customFormat="1" ht="30" x14ac:dyDescent="0.25">
      <c r="A65" s="5" t="s">
        <v>66</v>
      </c>
      <c r="B65" s="15"/>
      <c r="C65" s="7" t="s">
        <v>1</v>
      </c>
      <c r="D65" s="7" t="s">
        <v>2</v>
      </c>
      <c r="E65" s="8" t="s">
        <v>3</v>
      </c>
      <c r="F65" s="8" t="s">
        <v>4</v>
      </c>
      <c r="G65" s="9" t="s">
        <v>5</v>
      </c>
      <c r="H65" s="10" t="s">
        <v>6</v>
      </c>
      <c r="I65" s="19"/>
      <c r="J65" s="10" t="s">
        <v>67</v>
      </c>
      <c r="K65" s="10" t="s">
        <v>68</v>
      </c>
      <c r="L65" s="55" t="s">
        <v>69</v>
      </c>
      <c r="M65" s="3"/>
      <c r="N65" s="3"/>
    </row>
    <row r="66" spans="1:14" s="2" customFormat="1" ht="30" x14ac:dyDescent="0.25">
      <c r="A66" s="56" t="s">
        <v>37</v>
      </c>
      <c r="B66" s="57"/>
      <c r="C66" s="26">
        <v>12</v>
      </c>
      <c r="D66" s="26">
        <v>11</v>
      </c>
      <c r="E66" s="27">
        <v>9</v>
      </c>
      <c r="F66" s="27">
        <v>6.6532500000000008</v>
      </c>
      <c r="G66" s="28">
        <f t="shared" ref="G66:G73" si="16">L66</f>
        <v>7.4880000000000004</v>
      </c>
      <c r="H66" s="26">
        <f>G66-F66</f>
        <v>0.83474999999999966</v>
      </c>
      <c r="I66" s="19"/>
      <c r="J66" s="38">
        <f>[2]FTE!P23</f>
        <v>0.82874999999999999</v>
      </c>
      <c r="K66" s="22">
        <f>[2]FTE!Q23</f>
        <v>6.6592500000000001</v>
      </c>
      <c r="L66" s="38">
        <f>J66+K66</f>
        <v>7.4880000000000004</v>
      </c>
      <c r="M66" s="3"/>
      <c r="N66" s="3"/>
    </row>
    <row r="67" spans="1:14" s="2" customFormat="1" x14ac:dyDescent="0.25">
      <c r="A67" s="56" t="s">
        <v>41</v>
      </c>
      <c r="B67" s="57"/>
      <c r="C67" s="26">
        <v>0.25</v>
      </c>
      <c r="D67" s="26">
        <v>0.25</v>
      </c>
      <c r="E67" s="27">
        <v>0.25</v>
      </c>
      <c r="F67" s="27">
        <v>0.24650000000000002</v>
      </c>
      <c r="G67" s="28">
        <f t="shared" si="16"/>
        <v>0.25075000000000003</v>
      </c>
      <c r="H67" s="26">
        <f t="shared" ref="H67:H79" si="17">G67-F67</f>
        <v>4.2500000000000038E-3</v>
      </c>
      <c r="I67" s="19"/>
      <c r="J67" s="58">
        <f>[2]FTE!S23</f>
        <v>0.10625</v>
      </c>
      <c r="K67" s="22">
        <f>[2]FTE!T23</f>
        <v>0.14450000000000002</v>
      </c>
      <c r="L67" s="38">
        <f>J67+K67</f>
        <v>0.25075000000000003</v>
      </c>
      <c r="M67" s="3"/>
      <c r="N67" s="3"/>
    </row>
    <row r="68" spans="1:14" s="2" customFormat="1" x14ac:dyDescent="0.25">
      <c r="A68" s="56" t="s">
        <v>43</v>
      </c>
      <c r="B68" s="57"/>
      <c r="C68" s="26">
        <v>0.25</v>
      </c>
      <c r="D68" s="26">
        <v>0.25</v>
      </c>
      <c r="E68" s="27">
        <v>0.25</v>
      </c>
      <c r="F68" s="27">
        <v>0.25</v>
      </c>
      <c r="G68" s="28">
        <f t="shared" si="16"/>
        <v>0.25</v>
      </c>
      <c r="H68" s="26">
        <f t="shared" si="17"/>
        <v>0</v>
      </c>
      <c r="I68" s="19"/>
      <c r="J68" s="58"/>
      <c r="K68" s="22">
        <v>0.25</v>
      </c>
      <c r="L68" s="38">
        <f>J68+K68</f>
        <v>0.25</v>
      </c>
      <c r="M68" s="3"/>
      <c r="N68" s="3"/>
    </row>
    <row r="69" spans="1:14" s="2" customFormat="1" x14ac:dyDescent="0.25">
      <c r="A69" s="59" t="s">
        <v>45</v>
      </c>
      <c r="B69" s="60"/>
      <c r="C69" s="61">
        <v>0.75</v>
      </c>
      <c r="D69" s="61">
        <v>0.75</v>
      </c>
      <c r="E69" s="62">
        <v>0.75</v>
      </c>
      <c r="F69" s="62">
        <v>0.75</v>
      </c>
      <c r="G69" s="62">
        <f t="shared" si="16"/>
        <v>0.75</v>
      </c>
      <c r="H69" s="61">
        <f t="shared" si="17"/>
        <v>0</v>
      </c>
      <c r="I69" s="63"/>
      <c r="J69" s="64">
        <v>0.75</v>
      </c>
      <c r="K69" s="65"/>
      <c r="L69" s="61">
        <f>J69+K69</f>
        <v>0.75</v>
      </c>
      <c r="M69" s="3"/>
      <c r="N69" s="3"/>
    </row>
    <row r="70" spans="1:14" s="2" customFormat="1" x14ac:dyDescent="0.25">
      <c r="A70" s="59" t="s">
        <v>46</v>
      </c>
      <c r="B70" s="60"/>
      <c r="C70" s="61">
        <v>0.25</v>
      </c>
      <c r="D70" s="61">
        <v>0.25</v>
      </c>
      <c r="E70" s="62">
        <v>0.25</v>
      </c>
      <c r="F70" s="62">
        <v>0.25</v>
      </c>
      <c r="G70" s="62">
        <f t="shared" si="16"/>
        <v>0.25</v>
      </c>
      <c r="H70" s="61">
        <f t="shared" si="17"/>
        <v>0</v>
      </c>
      <c r="I70" s="63"/>
      <c r="J70" s="64"/>
      <c r="K70" s="65">
        <v>0.25</v>
      </c>
      <c r="L70" s="61">
        <f t="shared" ref="L70:L73" si="18">J70+K70</f>
        <v>0.25</v>
      </c>
      <c r="M70" s="3"/>
      <c r="N70" s="3"/>
    </row>
    <row r="71" spans="1:14" s="2" customFormat="1" x14ac:dyDescent="0.25">
      <c r="A71" s="59" t="s">
        <v>47</v>
      </c>
      <c r="B71" s="60"/>
      <c r="C71" s="61">
        <v>0.25</v>
      </c>
      <c r="D71" s="61">
        <v>0.25</v>
      </c>
      <c r="E71" s="62">
        <v>0.25</v>
      </c>
      <c r="F71" s="62">
        <v>0.25</v>
      </c>
      <c r="G71" s="62">
        <f t="shared" si="16"/>
        <v>0.25</v>
      </c>
      <c r="H71" s="61">
        <f t="shared" si="17"/>
        <v>0</v>
      </c>
      <c r="I71" s="63"/>
      <c r="J71" s="64"/>
      <c r="K71" s="65">
        <v>0.25</v>
      </c>
      <c r="L71" s="61">
        <f t="shared" si="18"/>
        <v>0.25</v>
      </c>
      <c r="M71" s="3"/>
      <c r="N71" s="3"/>
    </row>
    <row r="72" spans="1:14" s="2" customFormat="1" x14ac:dyDescent="0.25">
      <c r="A72" s="59" t="s">
        <v>48</v>
      </c>
      <c r="B72" s="60"/>
      <c r="C72" s="61">
        <v>0.25</v>
      </c>
      <c r="D72" s="61">
        <v>0.25</v>
      </c>
      <c r="E72" s="62">
        <v>0.25</v>
      </c>
      <c r="F72" s="62">
        <v>0.25</v>
      </c>
      <c r="G72" s="62">
        <f t="shared" si="16"/>
        <v>0.25</v>
      </c>
      <c r="H72" s="61">
        <f t="shared" si="17"/>
        <v>0</v>
      </c>
      <c r="I72" s="63"/>
      <c r="J72" s="64"/>
      <c r="K72" s="65">
        <v>0.25</v>
      </c>
      <c r="L72" s="61">
        <f t="shared" si="18"/>
        <v>0.25</v>
      </c>
      <c r="M72" s="3"/>
      <c r="N72" s="3"/>
    </row>
    <row r="73" spans="1:14" s="2" customFormat="1" x14ac:dyDescent="0.25">
      <c r="A73" s="59" t="s">
        <v>49</v>
      </c>
      <c r="B73" s="60"/>
      <c r="C73" s="61">
        <v>0.25</v>
      </c>
      <c r="D73" s="61">
        <v>0.25</v>
      </c>
      <c r="E73" s="62">
        <v>0.25</v>
      </c>
      <c r="F73" s="62">
        <v>0.25</v>
      </c>
      <c r="G73" s="62">
        <f t="shared" si="16"/>
        <v>0.25</v>
      </c>
      <c r="H73" s="61">
        <f t="shared" si="17"/>
        <v>0</v>
      </c>
      <c r="I73" s="63"/>
      <c r="J73" s="64"/>
      <c r="K73" s="65">
        <v>0.25</v>
      </c>
      <c r="L73" s="61">
        <f t="shared" si="18"/>
        <v>0.25</v>
      </c>
      <c r="M73" s="3"/>
      <c r="N73" s="3"/>
    </row>
    <row r="74" spans="1:14" s="2" customFormat="1" x14ac:dyDescent="0.25">
      <c r="A74" s="59"/>
      <c r="B74" s="60"/>
      <c r="C74" s="61">
        <v>1.75</v>
      </c>
      <c r="D74" s="61">
        <v>1.75</v>
      </c>
      <c r="E74" s="62">
        <v>1.75</v>
      </c>
      <c r="F74" s="62">
        <v>1.75</v>
      </c>
      <c r="G74" s="62">
        <f>SUM(G69:G73)</f>
        <v>1.75</v>
      </c>
      <c r="H74" s="61">
        <f t="shared" si="17"/>
        <v>0</v>
      </c>
      <c r="I74" s="63"/>
      <c r="J74" s="61">
        <f t="shared" ref="J74:L74" si="19">SUM(J69:J73)</f>
        <v>0.75</v>
      </c>
      <c r="K74" s="65">
        <f t="shared" si="19"/>
        <v>1</v>
      </c>
      <c r="L74" s="61">
        <f t="shared" si="19"/>
        <v>1.75</v>
      </c>
      <c r="M74" s="3"/>
      <c r="N74" s="3"/>
    </row>
    <row r="75" spans="1:14" s="2" customFormat="1" x14ac:dyDescent="0.25">
      <c r="A75" s="56" t="s">
        <v>51</v>
      </c>
      <c r="B75" s="57"/>
      <c r="C75" s="26">
        <v>0.25</v>
      </c>
      <c r="D75" s="26">
        <v>0.25</v>
      </c>
      <c r="E75" s="27">
        <v>0.25</v>
      </c>
      <c r="F75" s="27">
        <v>0.25</v>
      </c>
      <c r="G75" s="28">
        <f>L75</f>
        <v>0.25</v>
      </c>
      <c r="H75" s="26">
        <f t="shared" si="17"/>
        <v>0</v>
      </c>
      <c r="I75" s="19"/>
      <c r="J75" s="58"/>
      <c r="K75" s="22">
        <v>0.25</v>
      </c>
      <c r="L75" s="38">
        <f t="shared" ref="L75:L79" si="20">J75+K75</f>
        <v>0.25</v>
      </c>
      <c r="M75" s="3"/>
      <c r="N75" s="3"/>
    </row>
    <row r="76" spans="1:14" s="2" customFormat="1" x14ac:dyDescent="0.25">
      <c r="A76" s="56" t="s">
        <v>55</v>
      </c>
      <c r="B76" s="57"/>
      <c r="C76" s="26">
        <v>0.25</v>
      </c>
      <c r="D76" s="26">
        <v>0.25</v>
      </c>
      <c r="E76" s="27">
        <v>0.25</v>
      </c>
      <c r="F76" s="27">
        <v>0.25</v>
      </c>
      <c r="G76" s="28">
        <f>L76</f>
        <v>0.25</v>
      </c>
      <c r="H76" s="26">
        <f t="shared" si="17"/>
        <v>0</v>
      </c>
      <c r="I76" s="19"/>
      <c r="J76" s="58"/>
      <c r="K76" s="22">
        <v>0.25</v>
      </c>
      <c r="L76" s="38">
        <f t="shared" si="20"/>
        <v>0.25</v>
      </c>
      <c r="M76" s="3"/>
      <c r="N76" s="3"/>
    </row>
    <row r="77" spans="1:14" s="2" customFormat="1" x14ac:dyDescent="0.25">
      <c r="A77" s="56" t="s">
        <v>58</v>
      </c>
      <c r="B77" s="57"/>
      <c r="C77" s="26">
        <v>0.25</v>
      </c>
      <c r="D77" s="26">
        <v>0.25</v>
      </c>
      <c r="E77" s="27">
        <v>0.25</v>
      </c>
      <c r="F77" s="27">
        <v>0.25</v>
      </c>
      <c r="G77" s="28">
        <f>L77</f>
        <v>0.25</v>
      </c>
      <c r="H77" s="26">
        <f t="shared" si="17"/>
        <v>0</v>
      </c>
      <c r="I77" s="19"/>
      <c r="J77" s="58"/>
      <c r="K77" s="22">
        <v>0.25</v>
      </c>
      <c r="L77" s="38">
        <f t="shared" si="20"/>
        <v>0.25</v>
      </c>
      <c r="M77" s="3"/>
      <c r="N77" s="3"/>
    </row>
    <row r="78" spans="1:14" s="2" customFormat="1" x14ac:dyDescent="0.25">
      <c r="A78" s="56" t="s">
        <v>60</v>
      </c>
      <c r="B78" s="57"/>
      <c r="C78" s="26">
        <v>0.25</v>
      </c>
      <c r="D78" s="26">
        <v>0.25</v>
      </c>
      <c r="E78" s="27">
        <v>0.25</v>
      </c>
      <c r="F78" s="27">
        <v>0.25</v>
      </c>
      <c r="G78" s="28">
        <f>L78</f>
        <v>0.25</v>
      </c>
      <c r="H78" s="26">
        <f t="shared" si="17"/>
        <v>0</v>
      </c>
      <c r="I78" s="19"/>
      <c r="J78" s="58"/>
      <c r="K78" s="22">
        <v>0.25</v>
      </c>
      <c r="L78" s="38">
        <f t="shared" si="20"/>
        <v>0.25</v>
      </c>
      <c r="M78" s="3"/>
      <c r="N78" s="3"/>
    </row>
    <row r="79" spans="1:14" s="1" customFormat="1" x14ac:dyDescent="0.25">
      <c r="A79" s="56" t="s">
        <v>62</v>
      </c>
      <c r="B79" s="57"/>
      <c r="C79" s="26">
        <v>0.25</v>
      </c>
      <c r="D79" s="26">
        <v>0.25</v>
      </c>
      <c r="E79" s="27">
        <v>0.25</v>
      </c>
      <c r="F79" s="27">
        <v>0.25</v>
      </c>
      <c r="G79" s="28">
        <f>L79</f>
        <v>0.25</v>
      </c>
      <c r="H79" s="26">
        <f t="shared" si="17"/>
        <v>0</v>
      </c>
      <c r="I79" s="19"/>
      <c r="J79" s="58"/>
      <c r="K79" s="22">
        <v>0.25</v>
      </c>
      <c r="L79" s="38">
        <f t="shared" si="20"/>
        <v>0.25</v>
      </c>
      <c r="M79" s="3"/>
      <c r="N79" s="3"/>
    </row>
    <row r="80" spans="1:14" s="1" customFormat="1" x14ac:dyDescent="0.25">
      <c r="A80" s="66"/>
      <c r="B80" s="67"/>
      <c r="C80" s="26">
        <v>15.5</v>
      </c>
      <c r="D80" s="26">
        <v>14.5</v>
      </c>
      <c r="E80" s="27">
        <v>12.5</v>
      </c>
      <c r="F80" s="27">
        <v>10.149750000000001</v>
      </c>
      <c r="G80" s="28">
        <f>SUM(G66:G79)-G74</f>
        <v>10.98875</v>
      </c>
      <c r="H80" s="27">
        <f>SUM(H66:H79)-H74</f>
        <v>0.83899999999999963</v>
      </c>
      <c r="I80" s="19"/>
      <c r="J80" s="58">
        <f>SUM(J66:J79)-J74</f>
        <v>1.6850000000000001</v>
      </c>
      <c r="K80" s="37">
        <f t="shared" ref="K80:L80" si="21">SUM(K66:K79)-K74</f>
        <v>9.3037500000000009</v>
      </c>
      <c r="L80" s="58">
        <f t="shared" si="21"/>
        <v>10.98875</v>
      </c>
      <c r="M80" s="3"/>
      <c r="N80" s="3"/>
    </row>
    <row r="82" spans="1:9" x14ac:dyDescent="0.25">
      <c r="A82" s="14" t="s">
        <v>70</v>
      </c>
      <c r="B82" s="15"/>
      <c r="C82" s="27">
        <v>12.25</v>
      </c>
      <c r="D82" s="27">
        <v>11.25</v>
      </c>
      <c r="E82" s="27">
        <v>9.25</v>
      </c>
      <c r="F82" s="27">
        <v>6.8997500000000009</v>
      </c>
      <c r="G82" s="27">
        <f>G66+G67</f>
        <v>7.7387500000000005</v>
      </c>
      <c r="H82" s="22"/>
      <c r="I82" s="19">
        <f>F82/F85</f>
        <v>0.67979506884406027</v>
      </c>
    </row>
    <row r="83" spans="1:9" x14ac:dyDescent="0.25">
      <c r="A83" s="14" t="s">
        <v>71</v>
      </c>
      <c r="B83" s="15"/>
      <c r="C83" s="27">
        <v>1.75</v>
      </c>
      <c r="D83" s="27">
        <v>1.75</v>
      </c>
      <c r="E83" s="27">
        <v>1.75</v>
      </c>
      <c r="F83" s="27">
        <v>1.75</v>
      </c>
      <c r="G83" s="27">
        <f>G74</f>
        <v>1.75</v>
      </c>
      <c r="H83" s="22"/>
      <c r="I83" s="19">
        <f>F83/F85</f>
        <v>0.17241803985319834</v>
      </c>
    </row>
    <row r="84" spans="1:9" x14ac:dyDescent="0.25">
      <c r="A84" s="14" t="s">
        <v>72</v>
      </c>
      <c r="B84" s="15"/>
      <c r="C84" s="27">
        <v>1.5</v>
      </c>
      <c r="D84" s="27">
        <v>1.5</v>
      </c>
      <c r="E84" s="27">
        <v>1.5</v>
      </c>
      <c r="F84" s="27">
        <v>1.5</v>
      </c>
      <c r="G84" s="27">
        <f>G79+G78+G77+G76+G75+G68</f>
        <v>1.5</v>
      </c>
      <c r="H84" s="22"/>
      <c r="I84" s="19">
        <f>F84/F85</f>
        <v>0.14778689130274145</v>
      </c>
    </row>
    <row r="85" spans="1:9" x14ac:dyDescent="0.25">
      <c r="A85" s="14"/>
      <c r="B85" s="15"/>
      <c r="C85" s="27">
        <v>15.5</v>
      </c>
      <c r="D85" s="27">
        <v>14.5</v>
      </c>
      <c r="E85" s="27">
        <v>12.5</v>
      </c>
      <c r="F85" s="27">
        <v>10.149750000000001</v>
      </c>
      <c r="G85" s="27">
        <f>SUM(G82:G84)</f>
        <v>10.98875</v>
      </c>
      <c r="H85" s="22"/>
      <c r="I85" s="19"/>
    </row>
  </sheetData>
  <mergeCells count="28">
    <mergeCell ref="J26:K26"/>
    <mergeCell ref="J27:K27"/>
    <mergeCell ref="J28:K28"/>
    <mergeCell ref="J30:K30"/>
    <mergeCell ref="J20:K20"/>
    <mergeCell ref="J21:K21"/>
    <mergeCell ref="J22:K22"/>
    <mergeCell ref="J23:K23"/>
    <mergeCell ref="J24:K24"/>
    <mergeCell ref="J25:K25"/>
    <mergeCell ref="J19:K19"/>
    <mergeCell ref="J7:K7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6:K6"/>
    <mergeCell ref="A1:I1"/>
    <mergeCell ref="J2:K2"/>
    <mergeCell ref="J3:K3"/>
    <mergeCell ref="J4:K4"/>
    <mergeCell ref="J5:K5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PY25 MOU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BOffice</dc:creator>
  <cp:lastModifiedBy>BOffice</cp:lastModifiedBy>
  <dcterms:created xsi:type="dcterms:W3CDTF">2024-12-17T19:01:19Z</dcterms:created>
  <dcterms:modified xsi:type="dcterms:W3CDTF">2025-01-30T14:08:24Z</dcterms:modified>
</cp:coreProperties>
</file>